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drawings/drawing11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2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3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4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15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6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7.xml" ContentType="application/vnd.openxmlformats-officedocument.drawing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drawings/drawing19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20.xml" ContentType="application/vnd.openxmlformats-officedocument.drawing+xml"/>
  <Override PartName="/xl/charts/chart55.xml" ContentType="application/vnd.openxmlformats-officedocument.drawingml.chart+xml"/>
  <Override PartName="/xl/drawings/drawing21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2.xml" ContentType="application/vnd.openxmlformats-officedocument.drawing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3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drawings/drawing24.xml" ContentType="application/vnd.openxmlformats-officedocument.drawing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5.xml" ContentType="application/vnd.openxmlformats-officedocument.drawing+xml"/>
  <Override PartName="/xl/charts/chart68.xml" ContentType="application/vnd.openxmlformats-officedocument.drawingml.chart+xml"/>
  <Override PartName="/xl/drawings/drawing26.xml" ContentType="application/vnd.openxmlformats-officedocument.drawing+xml"/>
  <Override PartName="/xl/charts/chart69.xml" ContentType="application/vnd.openxmlformats-officedocument.drawingml.chart+xml"/>
  <Override PartName="/xl/drawings/drawing27.xml" ContentType="application/vnd.openxmlformats-officedocument.drawing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28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371CA504-3BBC-467E-B601-01597E74B72C}" xr6:coauthVersionLast="47" xr6:coauthVersionMax="47" xr10:uidLastSave="{00000000-0000-0000-0000-000000000000}"/>
  <bookViews>
    <workbookView xWindow="-120" yWindow="-120" windowWidth="29040" windowHeight="15840" tabRatio="897" xr2:uid="{00000000-000D-0000-FFFF-FFFF00000000}"/>
  </bookViews>
  <sheets>
    <sheet name="Легенда" sheetId="4" r:id="rId1"/>
    <sheet name="Допущения" sheetId="40" r:id="rId2"/>
    <sheet name="Параметры Доходы" sheetId="1" r:id="rId3"/>
    <sheet name="Параметры Расходы" sheetId="2" r:id="rId4"/>
    <sheet name="Параметры инвестиции" sheetId="3" r:id="rId5"/>
    <sheet name="Параметры финансирование" sheetId="5" r:id="rId6"/>
    <sheet name="Параметы Налоги" sheetId="6" r:id="rId7"/>
    <sheet name="Амортизация" sheetId="8" r:id="rId8"/>
    <sheet name="Прибыль" sheetId="7" r:id="rId9"/>
    <sheet name="ОДДС" sheetId="11" r:id="rId10"/>
    <sheet name="Возврат инвестиций" sheetId="12" r:id="rId11"/>
    <sheet name="Инвестиционный анализ" sheetId="13" r:id="rId12"/>
    <sheet name="Центры прибыли" sheetId="15" r:id="rId13"/>
    <sheet name="Анализ чувствительности" sheetId="16" r:id="rId14"/>
    <sheet name="Резюме" sheetId="17" r:id="rId15"/>
    <sheet name="Результаты" sheetId="20" r:id="rId16"/>
    <sheet name="Стратегические цели" sheetId="18" r:id="rId17"/>
    <sheet name="Инвестиции" sheetId="21" r:id="rId18"/>
    <sheet name="Финансирование" sheetId="22" r:id="rId19"/>
    <sheet name="Процессы" sheetId="19" r:id="rId20"/>
    <sheet name="Продажи_1" sheetId="23" r:id="rId21"/>
    <sheet name="Продажи_2" sheetId="24" r:id="rId22"/>
    <sheet name="Продажи_3" sheetId="25" r:id="rId23"/>
    <sheet name="Продажи_4" sheetId="26" r:id="rId24"/>
    <sheet name="Расходы_1" sheetId="27" r:id="rId25"/>
    <sheet name="Расходы_2" sheetId="28" r:id="rId26"/>
    <sheet name="Расходы_3" sheetId="29" r:id="rId27"/>
    <sheet name="Расходы_4" sheetId="30" r:id="rId28"/>
    <sheet name="Налоги_1" sheetId="31" r:id="rId29"/>
    <sheet name="ОДДС_1" sheetId="32" r:id="rId30"/>
    <sheet name="ОПИУ_1" sheetId="33" r:id="rId31"/>
    <sheet name="Возврат инвестору_1" sheetId="34" r:id="rId32"/>
    <sheet name="Инвест анализ_1" sheetId="35" r:id="rId33"/>
    <sheet name="Финансовый анализ" sheetId="36" r:id="rId34"/>
    <sheet name="Риски_1" sheetId="37" r:id="rId35"/>
    <sheet name="Выводы" sheetId="39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9" l="1"/>
  <c r="C6" i="39"/>
  <c r="B7" i="39"/>
  <c r="C7" i="39"/>
  <c r="B8" i="39"/>
  <c r="C8" i="39"/>
  <c r="B9" i="39"/>
  <c r="C9" i="39"/>
  <c r="B10" i="39"/>
  <c r="C10" i="39"/>
  <c r="B11" i="39"/>
  <c r="C11" i="39"/>
  <c r="B12" i="39"/>
  <c r="C12" i="39"/>
  <c r="B13" i="39"/>
  <c r="C13" i="39"/>
  <c r="B14" i="39"/>
  <c r="C14" i="39"/>
  <c r="B63" i="5" l="1"/>
  <c r="C50" i="2" l="1"/>
  <c r="B75" i="3" l="1"/>
  <c r="B65" i="3"/>
  <c r="C51" i="2" l="1"/>
  <c r="C52" i="2"/>
  <c r="C53" i="2"/>
  <c r="C54" i="2"/>
  <c r="C5" i="1" l="1"/>
  <c r="A92" i="5"/>
  <c r="B142" i="5"/>
  <c r="B43" i="3"/>
  <c r="B51" i="3" l="1"/>
  <c r="D6" i="19"/>
  <c r="J6" i="19" s="1"/>
  <c r="D7" i="19"/>
  <c r="J7" i="19" s="1"/>
  <c r="D8" i="19"/>
  <c r="J8" i="19" s="1"/>
  <c r="D9" i="19"/>
  <c r="J9" i="19" s="1"/>
  <c r="D10" i="19"/>
  <c r="J10" i="19" s="1"/>
  <c r="D11" i="19"/>
  <c r="J11" i="19" s="1"/>
  <c r="D12" i="19"/>
  <c r="J12" i="19" s="1"/>
  <c r="D13" i="19"/>
  <c r="J13" i="19" s="1"/>
  <c r="D14" i="19"/>
  <c r="J14" i="19" s="1"/>
  <c r="D15" i="19"/>
  <c r="J15" i="19" s="1"/>
  <c r="D16" i="19"/>
  <c r="J16" i="19" s="1"/>
  <c r="D17" i="19"/>
  <c r="J17" i="19" s="1"/>
  <c r="D18" i="19"/>
  <c r="J18" i="19" s="1"/>
  <c r="D5" i="19"/>
  <c r="J5" i="19" s="1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5" i="19"/>
  <c r="B66" i="3" l="1"/>
  <c r="B50" i="3" l="1"/>
  <c r="D38" i="2" l="1"/>
  <c r="D48" i="2" l="1"/>
  <c r="G17" i="2" s="1"/>
  <c r="D49" i="2"/>
  <c r="G18" i="2" s="1"/>
  <c r="D52" i="2"/>
  <c r="G21" i="2" s="1"/>
  <c r="D53" i="2"/>
  <c r="G22" i="2" s="1"/>
  <c r="D73" i="2" l="1"/>
  <c r="K15" i="19" s="1"/>
  <c r="D74" i="2"/>
  <c r="D75" i="2"/>
  <c r="D76" i="2"/>
  <c r="D65" i="2"/>
  <c r="D66" i="2"/>
  <c r="K8" i="19" s="1"/>
  <c r="D67" i="2"/>
  <c r="D68" i="2"/>
  <c r="D69" i="2"/>
  <c r="D70" i="2"/>
  <c r="D71" i="2"/>
  <c r="K13" i="19" s="1"/>
  <c r="D72" i="2"/>
  <c r="K14" i="19" s="1"/>
  <c r="E68" i="2" l="1"/>
  <c r="K10" i="19"/>
  <c r="E67" i="2"/>
  <c r="K9" i="19"/>
  <c r="E65" i="2"/>
  <c r="F65" i="2" s="1"/>
  <c r="L7" i="19" s="1"/>
  <c r="K7" i="19"/>
  <c r="E76" i="2"/>
  <c r="F76" i="2" s="1"/>
  <c r="L18" i="19" s="1"/>
  <c r="K18" i="19"/>
  <c r="E75" i="2"/>
  <c r="K17" i="19"/>
  <c r="E70" i="2"/>
  <c r="F70" i="2" s="1"/>
  <c r="L12" i="19" s="1"/>
  <c r="K12" i="19"/>
  <c r="E74" i="2"/>
  <c r="F74" i="2" s="1"/>
  <c r="L16" i="19" s="1"/>
  <c r="K16" i="19"/>
  <c r="E69" i="2"/>
  <c r="F69" i="2" s="1"/>
  <c r="L11" i="19" s="1"/>
  <c r="K11" i="19"/>
  <c r="E73" i="2"/>
  <c r="F73" i="2" s="1"/>
  <c r="L15" i="19" s="1"/>
  <c r="E72" i="2"/>
  <c r="F72" i="2" s="1"/>
  <c r="L14" i="19" s="1"/>
  <c r="F68" i="2"/>
  <c r="L10" i="19" s="1"/>
  <c r="E71" i="2"/>
  <c r="F71" i="2" s="1"/>
  <c r="L13" i="19" s="1"/>
  <c r="F75" i="2"/>
  <c r="L17" i="19" s="1"/>
  <c r="F67" i="2"/>
  <c r="L9" i="19" s="1"/>
  <c r="E66" i="2"/>
  <c r="F66" i="2" s="1"/>
  <c r="L8" i="19" s="1"/>
  <c r="B42" i="3" l="1"/>
  <c r="C46" i="2" s="1"/>
  <c r="B19" i="20" l="1"/>
  <c r="A18" i="17" s="1"/>
  <c r="B20" i="20"/>
  <c r="A19" i="17" s="1"/>
  <c r="B18" i="20"/>
  <c r="A17" i="17" s="1"/>
  <c r="C15" i="18" l="1"/>
  <c r="D31" i="32" l="1"/>
  <c r="D45" i="32" s="1"/>
  <c r="B37" i="39" l="1"/>
  <c r="B36" i="39"/>
  <c r="B35" i="39"/>
  <c r="B34" i="39"/>
  <c r="B33" i="39"/>
  <c r="B31" i="39"/>
  <c r="B30" i="39"/>
  <c r="B29" i="39"/>
  <c r="B28" i="39"/>
  <c r="B26" i="39"/>
  <c r="B25" i="39"/>
  <c r="B24" i="39"/>
  <c r="B23" i="39"/>
  <c r="B22" i="39"/>
  <c r="B21" i="39"/>
  <c r="B20" i="39"/>
  <c r="B19" i="39"/>
  <c r="B18" i="39"/>
  <c r="B17" i="39"/>
  <c r="B16" i="39"/>
  <c r="B5" i="39"/>
  <c r="R19" i="36"/>
  <c r="R18" i="36"/>
  <c r="R16" i="36"/>
  <c r="R15" i="36"/>
  <c r="M8" i="36"/>
  <c r="M9" i="36"/>
  <c r="M10" i="36"/>
  <c r="M7" i="36"/>
  <c r="G3" i="36"/>
  <c r="F3" i="36"/>
  <c r="E3" i="36"/>
  <c r="D3" i="36"/>
  <c r="C3" i="36"/>
  <c r="B4" i="36"/>
  <c r="B22" i="35"/>
  <c r="B14" i="35"/>
  <c r="B15" i="35"/>
  <c r="C17" i="35"/>
  <c r="C21" i="35" s="1"/>
  <c r="D17" i="35"/>
  <c r="D21" i="35" s="1"/>
  <c r="B18" i="35"/>
  <c r="B19" i="35"/>
  <c r="C11" i="35"/>
  <c r="D11" i="35"/>
  <c r="B5" i="35"/>
  <c r="B6" i="35"/>
  <c r="B8" i="35"/>
  <c r="B9" i="35"/>
  <c r="B12" i="35"/>
  <c r="B4" i="35"/>
  <c r="F18" i="34"/>
  <c r="B18" i="34"/>
  <c r="B15" i="34"/>
  <c r="D9" i="34"/>
  <c r="D14" i="34" s="1"/>
  <c r="C9" i="34"/>
  <c r="C14" i="34" s="1"/>
  <c r="B11" i="34"/>
  <c r="B10" i="34"/>
  <c r="B7" i="34"/>
  <c r="B6" i="34"/>
  <c r="C4" i="34"/>
  <c r="B4" i="34"/>
  <c r="AB4" i="33"/>
  <c r="AA4" i="33"/>
  <c r="Z4" i="33"/>
  <c r="Y4" i="33"/>
  <c r="X4" i="33"/>
  <c r="W12" i="33"/>
  <c r="W15" i="33"/>
  <c r="Q6" i="33"/>
  <c r="W6" i="33" s="1"/>
  <c r="Q7" i="33"/>
  <c r="W7" i="33" s="1"/>
  <c r="Q8" i="33"/>
  <c r="W8" i="33" s="1"/>
  <c r="Q9" i="33"/>
  <c r="W9" i="33" s="1"/>
  <c r="Q10" i="33"/>
  <c r="W10" i="33" s="1"/>
  <c r="Q11" i="33"/>
  <c r="W11" i="33" s="1"/>
  <c r="Q12" i="33"/>
  <c r="Q13" i="33"/>
  <c r="W13" i="33" s="1"/>
  <c r="Q14" i="33"/>
  <c r="W14" i="33" s="1"/>
  <c r="Q15" i="33"/>
  <c r="Q16" i="33"/>
  <c r="W16" i="33" s="1"/>
  <c r="Q17" i="33"/>
  <c r="W17" i="33" s="1"/>
  <c r="Q18" i="33"/>
  <c r="W18" i="33" s="1"/>
  <c r="Q5" i="33"/>
  <c r="W5" i="33" s="1"/>
  <c r="M16" i="33"/>
  <c r="M17" i="33"/>
  <c r="M18" i="33"/>
  <c r="M6" i="33"/>
  <c r="M7" i="33"/>
  <c r="M8" i="33"/>
  <c r="M9" i="33"/>
  <c r="M10" i="33"/>
  <c r="M11" i="33"/>
  <c r="M12" i="33"/>
  <c r="M13" i="33"/>
  <c r="M14" i="33"/>
  <c r="M15" i="33"/>
  <c r="M5" i="33"/>
  <c r="D51" i="32"/>
  <c r="J34" i="32"/>
  <c r="K34" i="32"/>
  <c r="J35" i="32"/>
  <c r="K35" i="32"/>
  <c r="J36" i="32"/>
  <c r="K36" i="32"/>
  <c r="J37" i="32"/>
  <c r="K37" i="32"/>
  <c r="J38" i="32"/>
  <c r="K38" i="32"/>
  <c r="J39" i="32"/>
  <c r="K39" i="32"/>
  <c r="J40" i="32"/>
  <c r="K40" i="32"/>
  <c r="J41" i="32"/>
  <c r="K41" i="32"/>
  <c r="J42" i="32"/>
  <c r="K42" i="32"/>
  <c r="S34" i="32"/>
  <c r="S35" i="32"/>
  <c r="S36" i="32"/>
  <c r="S37" i="32"/>
  <c r="S38" i="32"/>
  <c r="S39" i="32"/>
  <c r="S40" i="32"/>
  <c r="S41" i="32"/>
  <c r="S42" i="32"/>
  <c r="R34" i="32"/>
  <c r="R35" i="32"/>
  <c r="R36" i="32"/>
  <c r="R37" i="32"/>
  <c r="R38" i="32"/>
  <c r="R39" i="32"/>
  <c r="R40" i="32"/>
  <c r="R41" i="32"/>
  <c r="R42" i="32"/>
  <c r="Q34" i="32"/>
  <c r="Q35" i="32"/>
  <c r="Q36" i="32"/>
  <c r="Q37" i="32"/>
  <c r="Q38" i="32"/>
  <c r="Q39" i="32"/>
  <c r="Q40" i="32"/>
  <c r="Q41" i="32"/>
  <c r="Q42" i="32"/>
  <c r="P34" i="32"/>
  <c r="P35" i="32"/>
  <c r="P36" i="32"/>
  <c r="P37" i="32"/>
  <c r="P38" i="32"/>
  <c r="P39" i="32"/>
  <c r="P40" i="32"/>
  <c r="P41" i="32"/>
  <c r="P42" i="32"/>
  <c r="S4" i="32"/>
  <c r="S31" i="32" s="1"/>
  <c r="S45" i="32" s="1"/>
  <c r="R4" i="32"/>
  <c r="R31" i="32" s="1"/>
  <c r="R45" i="32" s="1"/>
  <c r="Q4" i="32"/>
  <c r="Q31" i="32" s="1"/>
  <c r="Q45" i="32" s="1"/>
  <c r="P4" i="32"/>
  <c r="P31" i="32" s="1"/>
  <c r="P45" i="32" s="1"/>
  <c r="O4" i="32"/>
  <c r="O31" i="32" s="1"/>
  <c r="O45" i="32" s="1"/>
  <c r="N46" i="32"/>
  <c r="G46" i="32" s="1"/>
  <c r="C46" i="32" s="1"/>
  <c r="N47" i="32"/>
  <c r="G47" i="32" s="1"/>
  <c r="C47" i="32" s="1"/>
  <c r="N48" i="32"/>
  <c r="G48" i="32" s="1"/>
  <c r="C48" i="32" s="1"/>
  <c r="N50" i="32"/>
  <c r="G50" i="32" s="1"/>
  <c r="C50" i="32" s="1"/>
  <c r="N51" i="32"/>
  <c r="G51" i="32" s="1"/>
  <c r="C51" i="32" s="1"/>
  <c r="N52" i="32"/>
  <c r="G52" i="32" s="1"/>
  <c r="C52" i="32" s="1"/>
  <c r="N43" i="32"/>
  <c r="G43" i="32" s="1"/>
  <c r="C43" i="32" s="1"/>
  <c r="N45" i="32"/>
  <c r="G45" i="32" s="1"/>
  <c r="C45" i="32" s="1"/>
  <c r="N5" i="32"/>
  <c r="G5" i="32" s="1"/>
  <c r="C5" i="32" s="1"/>
  <c r="N9" i="32"/>
  <c r="G9" i="32" s="1"/>
  <c r="C9" i="32" s="1"/>
  <c r="N10" i="32"/>
  <c r="G10" i="32" s="1"/>
  <c r="C10" i="32" s="1"/>
  <c r="N14" i="32"/>
  <c r="G14" i="32" s="1"/>
  <c r="C14" i="32" s="1"/>
  <c r="N27" i="32"/>
  <c r="G27" i="32" s="1"/>
  <c r="C27" i="32" s="1"/>
  <c r="N28" i="32"/>
  <c r="G28" i="32" s="1"/>
  <c r="C28" i="32" s="1"/>
  <c r="N29" i="32"/>
  <c r="G29" i="32" s="1"/>
  <c r="C29" i="32" s="1"/>
  <c r="N31" i="32"/>
  <c r="G31" i="32" s="1"/>
  <c r="C31" i="32" s="1"/>
  <c r="N32" i="32"/>
  <c r="G32" i="32" s="1"/>
  <c r="C32" i="32" s="1"/>
  <c r="N33" i="32"/>
  <c r="G33" i="32" s="1"/>
  <c r="C33" i="32" s="1"/>
  <c r="N4" i="32"/>
  <c r="G4" i="32" s="1"/>
  <c r="C4" i="32" s="1"/>
  <c r="I10" i="31" l="1"/>
  <c r="E19" i="6"/>
  <c r="B6" i="31"/>
  <c r="C6" i="31"/>
  <c r="D6" i="31"/>
  <c r="E6" i="31"/>
  <c r="B7" i="31"/>
  <c r="C7" i="31"/>
  <c r="D7" i="31"/>
  <c r="E7" i="31"/>
  <c r="F7" i="31"/>
  <c r="B8" i="31"/>
  <c r="C8" i="31"/>
  <c r="E8" i="31"/>
  <c r="B9" i="31"/>
  <c r="C9" i="31"/>
  <c r="E9" i="31"/>
  <c r="C5" i="31"/>
  <c r="D5" i="31"/>
  <c r="E5" i="31"/>
  <c r="F5" i="31"/>
  <c r="B5" i="31"/>
  <c r="N5" i="29" l="1"/>
  <c r="M5" i="29"/>
  <c r="L5" i="29"/>
  <c r="K5" i="29"/>
  <c r="J5" i="29"/>
  <c r="G23" i="29"/>
  <c r="G29" i="29" s="1"/>
  <c r="B20" i="29"/>
  <c r="B26" i="29" s="1"/>
  <c r="B32" i="29" s="1"/>
  <c r="I8" i="29" s="1"/>
  <c r="B17" i="29"/>
  <c r="B23" i="29" s="1"/>
  <c r="B29" i="29" s="1"/>
  <c r="I5" i="29" s="1"/>
  <c r="G11" i="29"/>
  <c r="B14" i="29"/>
  <c r="B11" i="29"/>
  <c r="B7" i="29"/>
  <c r="B13" i="29" s="1"/>
  <c r="B19" i="29" s="1"/>
  <c r="B25" i="29" s="1"/>
  <c r="B31" i="29" s="1"/>
  <c r="I7" i="29" s="1"/>
  <c r="B6" i="29"/>
  <c r="B12" i="29" s="1"/>
  <c r="B18" i="29" s="1"/>
  <c r="B24" i="29" s="1"/>
  <c r="B30" i="29" s="1"/>
  <c r="I6" i="29" s="1"/>
  <c r="H23" i="28" l="1"/>
  <c r="G23" i="28"/>
  <c r="F36" i="28"/>
  <c r="F22" i="28"/>
  <c r="C6" i="28"/>
  <c r="D6" i="28"/>
  <c r="C7" i="28"/>
  <c r="C8" i="28"/>
  <c r="D8" i="28"/>
  <c r="C9" i="28"/>
  <c r="D9" i="28"/>
  <c r="C10" i="28"/>
  <c r="D10" i="28"/>
  <c r="C11" i="28"/>
  <c r="D11" i="28"/>
  <c r="C12" i="28"/>
  <c r="D12" i="28"/>
  <c r="C13" i="28"/>
  <c r="D13" i="28"/>
  <c r="C14" i="28"/>
  <c r="D14" i="28"/>
  <c r="C15" i="28"/>
  <c r="D15" i="28"/>
  <c r="C16" i="28"/>
  <c r="D16" i="28"/>
  <c r="C17" i="28"/>
  <c r="C18" i="28"/>
  <c r="B6" i="28"/>
  <c r="F23" i="28" s="1"/>
  <c r="B7" i="28"/>
  <c r="B8" i="28"/>
  <c r="B9" i="28"/>
  <c r="B10" i="28"/>
  <c r="B11" i="28"/>
  <c r="B12" i="28"/>
  <c r="B13" i="28"/>
  <c r="B14" i="28"/>
  <c r="B15" i="28"/>
  <c r="B16" i="28"/>
  <c r="B17" i="28"/>
  <c r="B18" i="28"/>
  <c r="B5" i="28"/>
  <c r="G10" i="27" l="1"/>
  <c r="H6" i="27"/>
  <c r="I6" i="27"/>
  <c r="C6" i="27"/>
  <c r="D6" i="27"/>
  <c r="E6" i="27"/>
  <c r="D7" i="27"/>
  <c r="D8" i="27"/>
  <c r="D9" i="27"/>
  <c r="B6" i="27"/>
  <c r="G6" i="27" s="1"/>
  <c r="B5" i="27"/>
  <c r="F34" i="25" l="1"/>
  <c r="E34" i="25"/>
  <c r="D34" i="25"/>
  <c r="C34" i="25"/>
  <c r="F27" i="25"/>
  <c r="E27" i="25"/>
  <c r="D27" i="25"/>
  <c r="C27" i="25"/>
  <c r="F20" i="25"/>
  <c r="E20" i="25"/>
  <c r="D20" i="25"/>
  <c r="C20" i="25"/>
  <c r="F13" i="25"/>
  <c r="E13" i="25"/>
  <c r="D13" i="25"/>
  <c r="C13" i="25"/>
  <c r="F6" i="25"/>
  <c r="E6" i="25"/>
  <c r="D6" i="25"/>
  <c r="C6" i="25"/>
  <c r="C31" i="24"/>
  <c r="D31" i="24"/>
  <c r="E31" i="24"/>
  <c r="F31" i="24"/>
  <c r="C32" i="24"/>
  <c r="D32" i="24"/>
  <c r="E32" i="24"/>
  <c r="F32" i="24"/>
  <c r="C33" i="24"/>
  <c r="D33" i="24"/>
  <c r="E33" i="24"/>
  <c r="F33" i="24"/>
  <c r="D30" i="24"/>
  <c r="E30" i="24"/>
  <c r="F30" i="24"/>
  <c r="C30" i="24"/>
  <c r="C25" i="24"/>
  <c r="D25" i="24"/>
  <c r="E25" i="24"/>
  <c r="F25" i="24"/>
  <c r="C26" i="24"/>
  <c r="D26" i="24"/>
  <c r="E26" i="24"/>
  <c r="F26" i="24"/>
  <c r="C27" i="24"/>
  <c r="D27" i="24"/>
  <c r="E27" i="24"/>
  <c r="F27" i="24"/>
  <c r="D24" i="24"/>
  <c r="E24" i="24"/>
  <c r="F24" i="24"/>
  <c r="C24" i="24"/>
  <c r="C19" i="24"/>
  <c r="D19" i="24"/>
  <c r="E19" i="24"/>
  <c r="F19" i="24"/>
  <c r="C20" i="24"/>
  <c r="D20" i="24"/>
  <c r="E20" i="24"/>
  <c r="F20" i="24"/>
  <c r="C21" i="24"/>
  <c r="D21" i="24"/>
  <c r="E21" i="24"/>
  <c r="F21" i="24"/>
  <c r="D18" i="24"/>
  <c r="E18" i="24"/>
  <c r="F18" i="24"/>
  <c r="C18" i="24"/>
  <c r="C13" i="24"/>
  <c r="D13" i="24"/>
  <c r="E13" i="24"/>
  <c r="F13" i="24"/>
  <c r="C14" i="24"/>
  <c r="D14" i="24"/>
  <c r="E14" i="24"/>
  <c r="F14" i="24"/>
  <c r="C15" i="24"/>
  <c r="D15" i="24"/>
  <c r="E15" i="24"/>
  <c r="F15" i="24"/>
  <c r="D12" i="24"/>
  <c r="E12" i="24"/>
  <c r="F12" i="24"/>
  <c r="C12" i="24"/>
  <c r="C6" i="24"/>
  <c r="D6" i="24"/>
  <c r="E6" i="24"/>
  <c r="F6" i="24"/>
  <c r="C7" i="24"/>
  <c r="D7" i="24"/>
  <c r="E7" i="24"/>
  <c r="F7" i="24"/>
  <c r="C8" i="24"/>
  <c r="D8" i="24"/>
  <c r="E8" i="24"/>
  <c r="F8" i="24"/>
  <c r="C9" i="24"/>
  <c r="D9" i="24"/>
  <c r="E9" i="24"/>
  <c r="F9" i="24"/>
  <c r="C27" i="23" l="1"/>
  <c r="D27" i="23"/>
  <c r="C28" i="23"/>
  <c r="D28" i="23"/>
  <c r="C29" i="23"/>
  <c r="D29" i="23"/>
  <c r="D26" i="23"/>
  <c r="C7" i="23"/>
  <c r="D7" i="23"/>
  <c r="C8" i="23"/>
  <c r="D8" i="23"/>
  <c r="C9" i="23"/>
  <c r="D9" i="23"/>
  <c r="C10" i="23"/>
  <c r="D10" i="23"/>
  <c r="C26" i="23"/>
  <c r="B7" i="23"/>
  <c r="B8" i="23"/>
  <c r="B9" i="23"/>
  <c r="B10" i="23"/>
  <c r="B25" i="23"/>
  <c r="B6" i="23"/>
  <c r="I14" i="22" l="1"/>
  <c r="I15" i="22"/>
  <c r="I16" i="22"/>
  <c r="I13" i="22"/>
  <c r="J9" i="22"/>
  <c r="J10" i="22"/>
  <c r="J11" i="22"/>
  <c r="J12" i="22"/>
  <c r="I9" i="22"/>
  <c r="I10" i="22"/>
  <c r="I11" i="22"/>
  <c r="I12" i="22"/>
  <c r="B8" i="22"/>
  <c r="B9" i="22"/>
  <c r="B10" i="22"/>
  <c r="B12" i="22"/>
  <c r="B14" i="22"/>
  <c r="B15" i="22"/>
  <c r="B16" i="22"/>
  <c r="B17" i="22"/>
  <c r="B19" i="22"/>
  <c r="B21" i="22"/>
  <c r="B22" i="22"/>
  <c r="B23" i="22"/>
  <c r="B6" i="22"/>
  <c r="B16" i="21"/>
  <c r="B31" i="21" s="1"/>
  <c r="N16" i="21" l="1"/>
  <c r="B6" i="20"/>
  <c r="B7" i="20"/>
  <c r="B8" i="20"/>
  <c r="B9" i="20"/>
  <c r="B10" i="20"/>
  <c r="B11" i="20"/>
  <c r="B12" i="20"/>
  <c r="B13" i="20"/>
  <c r="B14" i="20"/>
  <c r="B16" i="20"/>
  <c r="B17" i="20"/>
  <c r="B21" i="20"/>
  <c r="B22" i="20"/>
  <c r="B23" i="20"/>
  <c r="B24" i="20"/>
  <c r="B25" i="20"/>
  <c r="B26" i="20"/>
  <c r="B28" i="20"/>
  <c r="B29" i="20"/>
  <c r="B30" i="20"/>
  <c r="B31" i="20"/>
  <c r="B33" i="20"/>
  <c r="B34" i="20"/>
  <c r="B35" i="20"/>
  <c r="B36" i="20"/>
  <c r="B37" i="20"/>
  <c r="B5" i="20"/>
  <c r="L4" i="19"/>
  <c r="K4" i="19"/>
  <c r="E4" i="19"/>
  <c r="D4" i="19"/>
  <c r="J4" i="19" s="1"/>
  <c r="D19" i="19"/>
  <c r="J19" i="19" s="1"/>
  <c r="C18" i="18"/>
  <c r="C16" i="18"/>
  <c r="C14" i="18"/>
  <c r="B24" i="3" l="1"/>
  <c r="B61" i="3"/>
  <c r="G47" i="2" l="1"/>
  <c r="F24" i="3" s="1"/>
  <c r="F52" i="5" s="1"/>
  <c r="G48" i="2"/>
  <c r="F25" i="3" s="1"/>
  <c r="F53" i="5" s="1"/>
  <c r="G49" i="2"/>
  <c r="F26" i="3" s="1"/>
  <c r="F54" i="5" s="1"/>
  <c r="G50" i="2"/>
  <c r="F27" i="3" s="1"/>
  <c r="F55" i="5" s="1"/>
  <c r="G51" i="2"/>
  <c r="F28" i="3" s="1"/>
  <c r="F56" i="5" s="1"/>
  <c r="G52" i="2"/>
  <c r="F29" i="3" s="1"/>
  <c r="F57" i="5" s="1"/>
  <c r="G53" i="2"/>
  <c r="F30" i="3" s="1"/>
  <c r="F58" i="5" s="1"/>
  <c r="G54" i="2"/>
  <c r="F31" i="3" s="1"/>
  <c r="F59" i="5" s="1"/>
  <c r="G46" i="2"/>
  <c r="F23" i="3" s="1"/>
  <c r="F51" i="5" s="1"/>
  <c r="A33" i="1"/>
  <c r="F54" i="2" s="1"/>
  <c r="E31" i="3" s="1"/>
  <c r="E59" i="5" s="1"/>
  <c r="Y5" i="15"/>
  <c r="P5" i="15"/>
  <c r="Q5" i="15"/>
  <c r="R5" i="15"/>
  <c r="T5" i="15"/>
  <c r="U5" i="15"/>
  <c r="V5" i="15"/>
  <c r="W5" i="15"/>
  <c r="X5" i="15"/>
  <c r="N14" i="15"/>
  <c r="N6" i="15"/>
  <c r="N7" i="15"/>
  <c r="N8" i="15"/>
  <c r="N9" i="15"/>
  <c r="N15" i="15"/>
  <c r="N5" i="15"/>
  <c r="G23" i="16"/>
  <c r="G17" i="16"/>
  <c r="G24" i="16"/>
  <c r="G22" i="16"/>
  <c r="G18" i="16"/>
  <c r="G16" i="16"/>
  <c r="C16" i="16"/>
  <c r="D29" i="16"/>
  <c r="F29" i="16" s="1"/>
  <c r="E29" i="16" s="1"/>
  <c r="D30" i="16"/>
  <c r="F30" i="16" s="1"/>
  <c r="E30" i="16" s="1"/>
  <c r="D31" i="16"/>
  <c r="F31" i="16" s="1"/>
  <c r="E31" i="16" s="1"/>
  <c r="D32" i="16"/>
  <c r="F32" i="16" s="1"/>
  <c r="E32" i="16" s="1"/>
  <c r="D33" i="16"/>
  <c r="F33" i="16" s="1"/>
  <c r="E33" i="16" s="1"/>
  <c r="D34" i="16"/>
  <c r="F34" i="16" s="1"/>
  <c r="E34" i="16" s="1"/>
  <c r="D35" i="16"/>
  <c r="F35" i="16" s="1"/>
  <c r="E35" i="16" s="1"/>
  <c r="D36" i="16"/>
  <c r="F36" i="16" s="1"/>
  <c r="E36" i="16" s="1"/>
  <c r="D37" i="16"/>
  <c r="F37" i="16" s="1"/>
  <c r="E37" i="16" s="1"/>
  <c r="C22" i="16"/>
  <c r="C23" i="16"/>
  <c r="C24" i="16"/>
  <c r="D16" i="16"/>
  <c r="D17" i="16"/>
  <c r="D18" i="16"/>
  <c r="D15" i="16"/>
  <c r="B15" i="16"/>
  <c r="C15" i="16"/>
  <c r="B16" i="16"/>
  <c r="B17" i="16"/>
  <c r="C17" i="16"/>
  <c r="B18" i="16"/>
  <c r="C18" i="16"/>
  <c r="A16" i="16"/>
  <c r="A56" i="16" s="1"/>
  <c r="A68" i="16" s="1"/>
  <c r="A74" i="16" s="1"/>
  <c r="A17" i="16"/>
  <c r="A57" i="16" s="1"/>
  <c r="A69" i="16" s="1"/>
  <c r="A75" i="16" s="1"/>
  <c r="A18" i="16"/>
  <c r="A58" i="16" s="1"/>
  <c r="A70" i="16" s="1"/>
  <c r="A76" i="16" s="1"/>
  <c r="A15" i="16"/>
  <c r="F16" i="16" l="1"/>
  <c r="F18" i="16"/>
  <c r="E18" i="16" s="1"/>
  <c r="F17" i="16"/>
  <c r="E17" i="16" s="1"/>
  <c r="B13" i="17"/>
  <c r="B12" i="17"/>
  <c r="B11" i="17"/>
  <c r="B10" i="17"/>
  <c r="C14" i="20" l="1"/>
  <c r="C11" i="20"/>
  <c r="C13" i="20"/>
  <c r="C12" i="20"/>
  <c r="D22" i="18"/>
  <c r="F22" i="16"/>
  <c r="E22" i="16" s="1"/>
  <c r="F56" i="16" s="1"/>
  <c r="E57" i="16"/>
  <c r="E58" i="16"/>
  <c r="F23" i="16"/>
  <c r="E23" i="16" s="1"/>
  <c r="K23" i="16" s="1"/>
  <c r="F24" i="16"/>
  <c r="E24" i="16" s="1"/>
  <c r="L24" i="16" s="1"/>
  <c r="D76" i="16" s="1"/>
  <c r="E16" i="16"/>
  <c r="F19" i="16"/>
  <c r="E29" i="15"/>
  <c r="B29" i="15"/>
  <c r="C29" i="15"/>
  <c r="D29" i="15"/>
  <c r="C30" i="15"/>
  <c r="C31" i="15"/>
  <c r="C32" i="15"/>
  <c r="A29" i="15"/>
  <c r="E21" i="15"/>
  <c r="D22" i="15"/>
  <c r="D23" i="15"/>
  <c r="D24" i="15"/>
  <c r="D21" i="15"/>
  <c r="B21" i="15"/>
  <c r="C21" i="15"/>
  <c r="B22" i="15"/>
  <c r="C22" i="15"/>
  <c r="B23" i="15"/>
  <c r="C23" i="15"/>
  <c r="B24" i="15"/>
  <c r="C24" i="15"/>
  <c r="A22" i="15"/>
  <c r="A57" i="15" s="1"/>
  <c r="A65" i="15" s="1"/>
  <c r="A23" i="15"/>
  <c r="A58" i="15" s="1"/>
  <c r="A66" i="15" s="1"/>
  <c r="A24" i="15"/>
  <c r="A59" i="15" s="1"/>
  <c r="A67" i="15" s="1"/>
  <c r="A21" i="15"/>
  <c r="L22" i="16" l="1"/>
  <c r="D74" i="16" s="1"/>
  <c r="K22" i="16"/>
  <c r="L23" i="16"/>
  <c r="D75" i="16" s="1"/>
  <c r="F58" i="16"/>
  <c r="G58" i="16" s="1"/>
  <c r="K24" i="16"/>
  <c r="F25" i="16"/>
  <c r="E19" i="16"/>
  <c r="E56" i="16"/>
  <c r="G56" i="16" s="1"/>
  <c r="E25" i="16"/>
  <c r="F57" i="16"/>
  <c r="B24" i="13"/>
  <c r="C9" i="35" s="1"/>
  <c r="B23" i="13"/>
  <c r="C8" i="35" s="1"/>
  <c r="A16" i="13"/>
  <c r="B36" i="12"/>
  <c r="J27" i="12"/>
  <c r="N27" i="12"/>
  <c r="R27" i="12"/>
  <c r="V27" i="12"/>
  <c r="F27" i="12"/>
  <c r="Z11" i="12"/>
  <c r="A6" i="12"/>
  <c r="A5" i="12"/>
  <c r="G57" i="16" l="1"/>
  <c r="Z31" i="11"/>
  <c r="Z49" i="11" s="1"/>
  <c r="G46" i="11"/>
  <c r="I46" i="32" s="1"/>
  <c r="H46" i="11"/>
  <c r="J46" i="32" s="1"/>
  <c r="I46" i="11"/>
  <c r="K46" i="32" s="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H33" i="11"/>
  <c r="J33" i="32" s="1"/>
  <c r="I33" i="11"/>
  <c r="K33" i="32" s="1"/>
  <c r="J33" i="11"/>
  <c r="K33" i="11"/>
  <c r="L33" i="11"/>
  <c r="M33" i="11"/>
  <c r="N33" i="11"/>
  <c r="Q33" i="32" s="1"/>
  <c r="O33" i="11"/>
  <c r="P33" i="11"/>
  <c r="Q33" i="11"/>
  <c r="R33" i="11"/>
  <c r="R33" i="32" s="1"/>
  <c r="S33" i="11"/>
  <c r="T33" i="11"/>
  <c r="U33" i="11"/>
  <c r="V33" i="11"/>
  <c r="S33" i="32" s="1"/>
  <c r="W33" i="11"/>
  <c r="X33" i="11"/>
  <c r="Y33" i="11"/>
  <c r="G32" i="11"/>
  <c r="I32" i="32" s="1"/>
  <c r="H32" i="11"/>
  <c r="J32" i="32" s="1"/>
  <c r="I32" i="11"/>
  <c r="J32" i="11"/>
  <c r="K32" i="11"/>
  <c r="L32" i="11"/>
  <c r="M32" i="11"/>
  <c r="N32" i="11"/>
  <c r="O32" i="11"/>
  <c r="P32" i="11"/>
  <c r="P43" i="11" s="1"/>
  <c r="Q32" i="11"/>
  <c r="R32" i="11"/>
  <c r="S32" i="11"/>
  <c r="T32" i="11"/>
  <c r="T43" i="11" s="1"/>
  <c r="U32" i="11"/>
  <c r="V32" i="11"/>
  <c r="W32" i="11"/>
  <c r="X32" i="11"/>
  <c r="Y32" i="11"/>
  <c r="G18" i="11"/>
  <c r="I18" i="32" s="1"/>
  <c r="G19" i="11"/>
  <c r="I19" i="32" s="1"/>
  <c r="G22" i="11"/>
  <c r="I22" i="32" s="1"/>
  <c r="G23" i="11"/>
  <c r="I23" i="32" s="1"/>
  <c r="A7" i="11"/>
  <c r="N7" i="32" s="1"/>
  <c r="G7" i="32" s="1"/>
  <c r="C7" i="32" s="1"/>
  <c r="A8" i="11"/>
  <c r="N8" i="32" s="1"/>
  <c r="G8" i="32" s="1"/>
  <c r="C8" i="32" s="1"/>
  <c r="A6" i="11"/>
  <c r="N6" i="32" s="1"/>
  <c r="G6" i="32" s="1"/>
  <c r="C6" i="32" s="1"/>
  <c r="P33" i="32" l="1"/>
  <c r="L43" i="11"/>
  <c r="R32" i="32"/>
  <c r="P32" i="32"/>
  <c r="U43" i="11"/>
  <c r="Q43" i="11"/>
  <c r="M43" i="11"/>
  <c r="I43" i="11"/>
  <c r="K43" i="32" s="1"/>
  <c r="K32" i="32"/>
  <c r="S46" i="32"/>
  <c r="R46" i="32"/>
  <c r="Q46" i="32"/>
  <c r="P46" i="32"/>
  <c r="S32" i="32"/>
  <c r="Q32" i="32"/>
  <c r="W43" i="11"/>
  <c r="S43" i="11"/>
  <c r="O43" i="11"/>
  <c r="K43" i="11"/>
  <c r="X43" i="11"/>
  <c r="Y43" i="11"/>
  <c r="H43" i="11"/>
  <c r="J43" i="32" s="1"/>
  <c r="V43" i="11"/>
  <c r="R43" i="11"/>
  <c r="N43" i="11"/>
  <c r="J43" i="11"/>
  <c r="R43" i="32" l="1"/>
  <c r="P43" i="32"/>
  <c r="S43" i="32"/>
  <c r="Q43" i="32"/>
  <c r="C16" i="5"/>
  <c r="O77" i="5"/>
  <c r="P77" i="5"/>
  <c r="Q77" i="5"/>
  <c r="R77" i="5"/>
  <c r="D77" i="5"/>
  <c r="E77" i="5"/>
  <c r="F77" i="5"/>
  <c r="G77" i="5"/>
  <c r="H77" i="5"/>
  <c r="I77" i="5"/>
  <c r="J77" i="5"/>
  <c r="K77" i="5"/>
  <c r="L77" i="5"/>
  <c r="M77" i="5"/>
  <c r="N77" i="5"/>
  <c r="S77" i="5"/>
  <c r="T77" i="5"/>
  <c r="U77" i="5"/>
  <c r="V77" i="5"/>
  <c r="C77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B72" i="5"/>
  <c r="J15" i="22" s="1"/>
  <c r="B71" i="5"/>
  <c r="J14" i="22" s="1"/>
  <c r="B52" i="5"/>
  <c r="C17" i="5" s="1"/>
  <c r="A39" i="5"/>
  <c r="A40" i="5"/>
  <c r="A41" i="5"/>
  <c r="A42" i="5"/>
  <c r="A43" i="5"/>
  <c r="A44" i="5"/>
  <c r="A45" i="5"/>
  <c r="A46" i="5"/>
  <c r="A38" i="5"/>
  <c r="AD6" i="7"/>
  <c r="A6" i="6"/>
  <c r="A7" i="6"/>
  <c r="A8" i="6"/>
  <c r="A13" i="15" s="1"/>
  <c r="N13" i="15" s="1"/>
  <c r="A5" i="6"/>
  <c r="A10" i="15" s="1"/>
  <c r="N10" i="15" s="1"/>
  <c r="Z4" i="7"/>
  <c r="Z35" i="6"/>
  <c r="Z24" i="6"/>
  <c r="Z4" i="6" s="1"/>
  <c r="E21" i="6"/>
  <c r="F9" i="31" s="1"/>
  <c r="E20" i="6"/>
  <c r="F8" i="31" s="1"/>
  <c r="E18" i="6"/>
  <c r="F6" i="31" s="1"/>
  <c r="B21" i="13" l="1"/>
  <c r="C6" i="35" s="1"/>
  <c r="D22" i="22"/>
  <c r="AB6" i="6"/>
  <c r="I7" i="31" s="1"/>
  <c r="A11" i="15"/>
  <c r="N11" i="15" s="1"/>
  <c r="AB8" i="6"/>
  <c r="I9" i="31" s="1"/>
  <c r="B20" i="13"/>
  <c r="C5" i="35" s="1"/>
  <c r="D21" i="22"/>
  <c r="AB7" i="6"/>
  <c r="I8" i="31" s="1"/>
  <c r="A12" i="15"/>
  <c r="N12" i="15" s="1"/>
  <c r="AB5" i="6"/>
  <c r="I6" i="31" s="1"/>
  <c r="C18" i="5"/>
  <c r="D23" i="22" s="1"/>
  <c r="G37" i="6"/>
  <c r="F37" i="6"/>
  <c r="C27" i="13" l="1"/>
  <c r="D12" i="35" s="1"/>
  <c r="G14" i="7"/>
  <c r="S14" i="33" s="1"/>
  <c r="G8" i="6"/>
  <c r="F14" i="7"/>
  <c r="F8" i="6"/>
  <c r="A28" i="1" l="1"/>
  <c r="F49" i="2" s="1"/>
  <c r="E26" i="3" s="1"/>
  <c r="E54" i="5" s="1"/>
  <c r="B27" i="13"/>
  <c r="C12" i="35" s="1"/>
  <c r="R14" i="33"/>
  <c r="A6" i="8"/>
  <c r="I4" i="3" l="1"/>
  <c r="J5" i="21" s="1"/>
  <c r="D4" i="3"/>
  <c r="E5" i="21" s="1"/>
  <c r="P5" i="21" s="1"/>
  <c r="E4" i="3"/>
  <c r="F5" i="21" s="1"/>
  <c r="Q5" i="21" s="1"/>
  <c r="F4" i="3"/>
  <c r="G5" i="21" s="1"/>
  <c r="R5" i="21" s="1"/>
  <c r="G4" i="3"/>
  <c r="H5" i="21" s="1"/>
  <c r="S5" i="21" s="1"/>
  <c r="H4" i="3"/>
  <c r="I5" i="21" s="1"/>
  <c r="T5" i="21" s="1"/>
  <c r="C4" i="3"/>
  <c r="D5" i="21" s="1"/>
  <c r="O5" i="21" s="1"/>
  <c r="B4" i="3"/>
  <c r="C5" i="21" s="1"/>
  <c r="C20" i="21" s="1"/>
  <c r="A5" i="3"/>
  <c r="A6" i="3"/>
  <c r="A7" i="3"/>
  <c r="A8" i="3"/>
  <c r="A9" i="3"/>
  <c r="A10" i="3"/>
  <c r="A11" i="3"/>
  <c r="A12" i="3"/>
  <c r="B13" i="21" s="1"/>
  <c r="A13" i="3"/>
  <c r="A14" i="3"/>
  <c r="B15" i="21" s="1"/>
  <c r="A4" i="3"/>
  <c r="B5" i="21" s="1"/>
  <c r="A141" i="3"/>
  <c r="A157" i="3" s="1"/>
  <c r="A142" i="3"/>
  <c r="A158" i="3" s="1"/>
  <c r="A143" i="3"/>
  <c r="A159" i="3" s="1"/>
  <c r="A144" i="3"/>
  <c r="A160" i="3" s="1"/>
  <c r="A145" i="3"/>
  <c r="A161" i="3" s="1"/>
  <c r="A146" i="3"/>
  <c r="A162" i="3" s="1"/>
  <c r="A147" i="3"/>
  <c r="A163" i="3" s="1"/>
  <c r="A148" i="3"/>
  <c r="A164" i="3" s="1"/>
  <c r="A149" i="3"/>
  <c r="A165" i="3" s="1"/>
  <c r="A140" i="3"/>
  <c r="A156" i="3" s="1"/>
  <c r="B105" i="3"/>
  <c r="B122" i="3" s="1"/>
  <c r="I122" i="3" s="1"/>
  <c r="B106" i="3"/>
  <c r="B123" i="3" s="1"/>
  <c r="B107" i="3"/>
  <c r="B124" i="3" s="1"/>
  <c r="B108" i="3"/>
  <c r="B125" i="3" s="1"/>
  <c r="B109" i="3"/>
  <c r="B126" i="3" s="1"/>
  <c r="I126" i="3" s="1"/>
  <c r="B110" i="3"/>
  <c r="B127" i="3" s="1"/>
  <c r="B111" i="3"/>
  <c r="B128" i="3" s="1"/>
  <c r="B112" i="3"/>
  <c r="B129" i="3" s="1"/>
  <c r="B113" i="3"/>
  <c r="B130" i="3" s="1"/>
  <c r="I130" i="3" s="1"/>
  <c r="A105" i="3"/>
  <c r="A122" i="3" s="1"/>
  <c r="A106" i="3"/>
  <c r="A123" i="3" s="1"/>
  <c r="A107" i="3"/>
  <c r="A124" i="3" s="1"/>
  <c r="A108" i="3"/>
  <c r="A125" i="3" s="1"/>
  <c r="A109" i="3"/>
  <c r="A126" i="3" s="1"/>
  <c r="A110" i="3"/>
  <c r="A127" i="3" s="1"/>
  <c r="A111" i="3"/>
  <c r="A128" i="3" s="1"/>
  <c r="A112" i="3"/>
  <c r="A129" i="3" s="1"/>
  <c r="A113" i="3"/>
  <c r="A130" i="3" s="1"/>
  <c r="A114" i="3"/>
  <c r="A131" i="3" s="1"/>
  <c r="A115" i="3"/>
  <c r="A132" i="3" s="1"/>
  <c r="A104" i="3"/>
  <c r="A121" i="3" s="1"/>
  <c r="B90" i="3"/>
  <c r="B91" i="3"/>
  <c r="B89" i="3"/>
  <c r="A90" i="3"/>
  <c r="A97" i="3" s="1"/>
  <c r="A91" i="3"/>
  <c r="A98" i="3" s="1"/>
  <c r="A89" i="3"/>
  <c r="A96" i="3" s="1"/>
  <c r="E116" i="3"/>
  <c r="F116" i="3"/>
  <c r="G116" i="3"/>
  <c r="H116" i="3"/>
  <c r="I116" i="3"/>
  <c r="D116" i="3"/>
  <c r="E92" i="3"/>
  <c r="F92" i="3"/>
  <c r="G92" i="3"/>
  <c r="H92" i="3"/>
  <c r="I92" i="3"/>
  <c r="D92" i="3"/>
  <c r="J141" i="3"/>
  <c r="J142" i="3"/>
  <c r="J143" i="3"/>
  <c r="J144" i="3"/>
  <c r="J145" i="3"/>
  <c r="J146" i="3"/>
  <c r="J147" i="3"/>
  <c r="J148" i="3"/>
  <c r="J149" i="3"/>
  <c r="J140" i="3"/>
  <c r="B28" i="3"/>
  <c r="B42" i="5" s="1"/>
  <c r="B25" i="3"/>
  <c r="B30" i="3"/>
  <c r="B29" i="3"/>
  <c r="B161" i="3" s="1"/>
  <c r="D161" i="3" s="1"/>
  <c r="B27" i="3"/>
  <c r="B41" i="5" s="1"/>
  <c r="B26" i="3"/>
  <c r="B31" i="3" l="1"/>
  <c r="B45" i="5" s="1"/>
  <c r="B157" i="3"/>
  <c r="D157" i="3" s="1"/>
  <c r="C6" i="3" s="1"/>
  <c r="D7" i="21" s="1"/>
  <c r="O7" i="21" s="1"/>
  <c r="B12" i="21"/>
  <c r="A40" i="11"/>
  <c r="N40" i="32" s="1"/>
  <c r="G40" i="32" s="1"/>
  <c r="C40" i="32" s="1"/>
  <c r="A33" i="8"/>
  <c r="B11" i="21"/>
  <c r="A39" i="11"/>
  <c r="N39" i="32" s="1"/>
  <c r="G39" i="32" s="1"/>
  <c r="C39" i="32" s="1"/>
  <c r="A32" i="8"/>
  <c r="B14" i="21"/>
  <c r="A42" i="11"/>
  <c r="N42" i="32" s="1"/>
  <c r="G42" i="32" s="1"/>
  <c r="C42" i="32" s="1"/>
  <c r="B10" i="21"/>
  <c r="A38" i="11"/>
  <c r="N38" i="32" s="1"/>
  <c r="G38" i="32" s="1"/>
  <c r="C38" i="32" s="1"/>
  <c r="A31" i="8"/>
  <c r="A41" i="8" s="1"/>
  <c r="A11" i="8" s="1"/>
  <c r="A19" i="8" s="1"/>
  <c r="B6" i="21"/>
  <c r="A34" i="11"/>
  <c r="N34" i="32" s="1"/>
  <c r="G34" i="32" s="1"/>
  <c r="C34" i="32" s="1"/>
  <c r="A27" i="8"/>
  <c r="A37" i="8" s="1"/>
  <c r="A7" i="8" s="1"/>
  <c r="A15" i="8" s="1"/>
  <c r="B20" i="21"/>
  <c r="N5" i="21"/>
  <c r="B8" i="21"/>
  <c r="A36" i="11"/>
  <c r="N36" i="32" s="1"/>
  <c r="G36" i="32" s="1"/>
  <c r="C36" i="32" s="1"/>
  <c r="A29" i="8"/>
  <c r="A39" i="8" s="1"/>
  <c r="A9" i="8" s="1"/>
  <c r="A17" i="8" s="1"/>
  <c r="N15" i="21"/>
  <c r="B30" i="21"/>
  <c r="B7" i="21"/>
  <c r="A35" i="11"/>
  <c r="N35" i="32" s="1"/>
  <c r="G35" i="32" s="1"/>
  <c r="C35" i="32" s="1"/>
  <c r="A28" i="8"/>
  <c r="A38" i="8" s="1"/>
  <c r="A8" i="8" s="1"/>
  <c r="A16" i="8" s="1"/>
  <c r="B10" i="3"/>
  <c r="B43" i="5"/>
  <c r="B162" i="3"/>
  <c r="H162" i="3" s="1"/>
  <c r="G11" i="3" s="1"/>
  <c r="H12" i="21" s="1"/>
  <c r="S12" i="21" s="1"/>
  <c r="B44" i="5"/>
  <c r="B28" i="21"/>
  <c r="N13" i="21"/>
  <c r="B9" i="21"/>
  <c r="A37" i="11"/>
  <c r="N37" i="32" s="1"/>
  <c r="G37" i="32" s="1"/>
  <c r="C37" i="32" s="1"/>
  <c r="A30" i="8"/>
  <c r="A40" i="8" s="1"/>
  <c r="A10" i="8" s="1"/>
  <c r="A18" i="8" s="1"/>
  <c r="A41" i="11"/>
  <c r="N41" i="32" s="1"/>
  <c r="G41" i="32" s="1"/>
  <c r="C41" i="32" s="1"/>
  <c r="A34" i="8"/>
  <c r="B160" i="3"/>
  <c r="E160" i="3" s="1"/>
  <c r="D9" i="3" s="1"/>
  <c r="E10" i="21" s="1"/>
  <c r="P10" i="21" s="1"/>
  <c r="B9" i="3"/>
  <c r="B158" i="3"/>
  <c r="F158" i="3" s="1"/>
  <c r="E7" i="3" s="1"/>
  <c r="F8" i="21" s="1"/>
  <c r="Q8" i="21" s="1"/>
  <c r="B40" i="5"/>
  <c r="B156" i="3"/>
  <c r="G156" i="3" s="1"/>
  <c r="F5" i="3" s="1"/>
  <c r="G6" i="21" s="1"/>
  <c r="R6" i="21" s="1"/>
  <c r="B38" i="5"/>
  <c r="B5" i="3"/>
  <c r="B6" i="3"/>
  <c r="B39" i="5"/>
  <c r="E161" i="3"/>
  <c r="D10" i="3" s="1"/>
  <c r="E11" i="21" s="1"/>
  <c r="P11" i="21" s="1"/>
  <c r="I161" i="3"/>
  <c r="H10" i="3" s="1"/>
  <c r="I11" i="21" s="1"/>
  <c r="T11" i="21" s="1"/>
  <c r="G161" i="3"/>
  <c r="F10" i="3" s="1"/>
  <c r="F161" i="3"/>
  <c r="E10" i="3" s="1"/>
  <c r="F11" i="21" s="1"/>
  <c r="Q11" i="21" s="1"/>
  <c r="C10" i="3"/>
  <c r="B159" i="3"/>
  <c r="B8" i="3"/>
  <c r="H161" i="3"/>
  <c r="G10" i="3" s="1"/>
  <c r="H11" i="21" s="1"/>
  <c r="S11" i="21" s="1"/>
  <c r="B11" i="3"/>
  <c r="B7" i="3"/>
  <c r="E129" i="3"/>
  <c r="G129" i="3"/>
  <c r="F129" i="3"/>
  <c r="I129" i="3"/>
  <c r="D129" i="3"/>
  <c r="H129" i="3"/>
  <c r="E125" i="3"/>
  <c r="G125" i="3"/>
  <c r="F125" i="3"/>
  <c r="I125" i="3"/>
  <c r="D125" i="3"/>
  <c r="H125" i="3"/>
  <c r="F128" i="3"/>
  <c r="H128" i="3"/>
  <c r="G128" i="3"/>
  <c r="E128" i="3"/>
  <c r="I128" i="3"/>
  <c r="D128" i="3"/>
  <c r="F124" i="3"/>
  <c r="I124" i="3"/>
  <c r="G124" i="3"/>
  <c r="H124" i="3"/>
  <c r="E124" i="3"/>
  <c r="D124" i="3"/>
  <c r="G127" i="3"/>
  <c r="I127" i="3"/>
  <c r="D127" i="3"/>
  <c r="H127" i="3"/>
  <c r="E127" i="3"/>
  <c r="F127" i="3"/>
  <c r="G123" i="3"/>
  <c r="E123" i="3"/>
  <c r="I123" i="3"/>
  <c r="D123" i="3"/>
  <c r="H123" i="3"/>
  <c r="F123" i="3"/>
  <c r="G130" i="3"/>
  <c r="G126" i="3"/>
  <c r="G122" i="3"/>
  <c r="F130" i="3"/>
  <c r="E130" i="3"/>
  <c r="E126" i="3"/>
  <c r="E122" i="3"/>
  <c r="F126" i="3"/>
  <c r="F122" i="3"/>
  <c r="H130" i="3"/>
  <c r="D130" i="3"/>
  <c r="H126" i="3"/>
  <c r="D126" i="3"/>
  <c r="H122" i="3"/>
  <c r="D122" i="3"/>
  <c r="D46" i="2"/>
  <c r="G15" i="2" s="1"/>
  <c r="D47" i="2"/>
  <c r="G16" i="2" s="1"/>
  <c r="M17" i="2"/>
  <c r="M18" i="11" s="1"/>
  <c r="K18" i="2"/>
  <c r="K19" i="11" s="1"/>
  <c r="D50" i="2"/>
  <c r="G19" i="2" s="1"/>
  <c r="D51" i="2"/>
  <c r="G20" i="2" s="1"/>
  <c r="I21" i="2"/>
  <c r="I22" i="11" s="1"/>
  <c r="K22" i="32" s="1"/>
  <c r="L22" i="2"/>
  <c r="L23" i="11" s="1"/>
  <c r="D54" i="2"/>
  <c r="G23" i="2" s="1"/>
  <c r="N3" i="2"/>
  <c r="R3" i="2"/>
  <c r="V3" i="2"/>
  <c r="J3" i="2"/>
  <c r="F3" i="2"/>
  <c r="Z4" i="2"/>
  <c r="A24" i="2"/>
  <c r="F34" i="28" s="1"/>
  <c r="A25" i="2"/>
  <c r="F35" i="28" s="1"/>
  <c r="A15" i="2"/>
  <c r="F25" i="28" s="1"/>
  <c r="A16" i="2"/>
  <c r="F26" i="28" s="1"/>
  <c r="A17" i="2"/>
  <c r="F27" i="28" s="1"/>
  <c r="A18" i="2"/>
  <c r="F28" i="28" s="1"/>
  <c r="A19" i="2"/>
  <c r="F29" i="28" s="1"/>
  <c r="A20" i="2"/>
  <c r="F30" i="28" s="1"/>
  <c r="A21" i="2"/>
  <c r="F31" i="28" s="1"/>
  <c r="A22" i="2"/>
  <c r="F32" i="28" s="1"/>
  <c r="A23" i="2"/>
  <c r="F33" i="28" s="1"/>
  <c r="A14" i="2"/>
  <c r="F24" i="28" s="1"/>
  <c r="D39" i="2"/>
  <c r="E8" i="27" s="1"/>
  <c r="D40" i="2"/>
  <c r="E9" i="27" s="1"/>
  <c r="E7" i="27"/>
  <c r="B39" i="2"/>
  <c r="C8" i="27" s="1"/>
  <c r="B40" i="2"/>
  <c r="C9" i="27" s="1"/>
  <c r="B38" i="2"/>
  <c r="C7" i="27" s="1"/>
  <c r="A39" i="2"/>
  <c r="A40" i="2"/>
  <c r="A38" i="2"/>
  <c r="B81" i="2"/>
  <c r="B77" i="2"/>
  <c r="E19" i="19" s="1"/>
  <c r="D64" i="2"/>
  <c r="D63" i="2"/>
  <c r="K5" i="19" s="1"/>
  <c r="G18" i="1"/>
  <c r="G19" i="1" s="1"/>
  <c r="H18" i="1"/>
  <c r="H19" i="1" s="1"/>
  <c r="I18" i="1"/>
  <c r="I19" i="1" s="1"/>
  <c r="J18" i="1"/>
  <c r="J19" i="1" s="1"/>
  <c r="K18" i="1"/>
  <c r="K19" i="1" s="1"/>
  <c r="L18" i="1"/>
  <c r="L19" i="1" s="1"/>
  <c r="M18" i="1"/>
  <c r="M19" i="1" s="1"/>
  <c r="N18" i="1"/>
  <c r="N19" i="1" s="1"/>
  <c r="O18" i="1"/>
  <c r="O19" i="1" s="1"/>
  <c r="P18" i="1"/>
  <c r="P19" i="1" s="1"/>
  <c r="Q18" i="1"/>
  <c r="Q19" i="1" s="1"/>
  <c r="R18" i="1"/>
  <c r="R19" i="1" s="1"/>
  <c r="S18" i="1"/>
  <c r="S19" i="1" s="1"/>
  <c r="T18" i="1"/>
  <c r="T19" i="1" s="1"/>
  <c r="U18" i="1"/>
  <c r="U19" i="1" s="1"/>
  <c r="V18" i="1"/>
  <c r="V19" i="1" s="1"/>
  <c r="W18" i="1"/>
  <c r="W19" i="1" s="1"/>
  <c r="X18" i="1"/>
  <c r="X19" i="1" s="1"/>
  <c r="Y18" i="1"/>
  <c r="Y19" i="1" s="1"/>
  <c r="F18" i="1"/>
  <c r="F19" i="1" s="1"/>
  <c r="B4" i="1"/>
  <c r="G4" i="1"/>
  <c r="H4" i="1"/>
  <c r="H4" i="2" s="1"/>
  <c r="I4" i="1"/>
  <c r="I4" i="2" s="1"/>
  <c r="J4" i="1"/>
  <c r="J4" i="2" s="1"/>
  <c r="K4" i="1"/>
  <c r="L4" i="1"/>
  <c r="L4" i="2" s="1"/>
  <c r="M4" i="1"/>
  <c r="M4" i="2" s="1"/>
  <c r="N4" i="1"/>
  <c r="N4" i="2" s="1"/>
  <c r="O4" i="1"/>
  <c r="P4" i="1"/>
  <c r="P4" i="2" s="1"/>
  <c r="Q4" i="1"/>
  <c r="Q4" i="2" s="1"/>
  <c r="R4" i="1"/>
  <c r="R4" i="2" s="1"/>
  <c r="S4" i="1"/>
  <c r="T4" i="1"/>
  <c r="T4" i="2" s="1"/>
  <c r="U4" i="1"/>
  <c r="U4" i="2" s="1"/>
  <c r="V4" i="1"/>
  <c r="V4" i="2" s="1"/>
  <c r="W4" i="1"/>
  <c r="X4" i="1"/>
  <c r="X4" i="2" s="1"/>
  <c r="Y4" i="1"/>
  <c r="Y4" i="2" s="1"/>
  <c r="F4" i="1"/>
  <c r="E15" i="1"/>
  <c r="E14" i="1"/>
  <c r="B5" i="1"/>
  <c r="L16" i="2" l="1"/>
  <c r="L17" i="11" s="1"/>
  <c r="G17" i="11"/>
  <c r="I17" i="32" s="1"/>
  <c r="E64" i="2"/>
  <c r="K6" i="19"/>
  <c r="L23" i="2"/>
  <c r="L24" i="11" s="1"/>
  <c r="L20" i="2"/>
  <c r="L21" i="11" s="1"/>
  <c r="L19" i="2"/>
  <c r="L20" i="11" s="1"/>
  <c r="D162" i="3"/>
  <c r="L15" i="2"/>
  <c r="L16" i="11" s="1"/>
  <c r="I162" i="3"/>
  <c r="H11" i="3" s="1"/>
  <c r="I12" i="21" s="1"/>
  <c r="T12" i="21" s="1"/>
  <c r="F162" i="3"/>
  <c r="E11" i="3" s="1"/>
  <c r="F12" i="21" s="1"/>
  <c r="Q12" i="21" s="1"/>
  <c r="E162" i="3"/>
  <c r="D11" i="3" s="1"/>
  <c r="E12" i="21" s="1"/>
  <c r="P12" i="21" s="1"/>
  <c r="G162" i="3"/>
  <c r="F11" i="3" s="1"/>
  <c r="G12" i="21" s="1"/>
  <c r="R12" i="21" s="1"/>
  <c r="F157" i="3"/>
  <c r="E6" i="3" s="1"/>
  <c r="F7" i="21" s="1"/>
  <c r="Q7" i="21" s="1"/>
  <c r="G157" i="3"/>
  <c r="F6" i="3" s="1"/>
  <c r="G7" i="21" s="1"/>
  <c r="R7" i="21" s="1"/>
  <c r="I157" i="3"/>
  <c r="H6" i="3" s="1"/>
  <c r="I7" i="21" s="1"/>
  <c r="T7" i="21" s="1"/>
  <c r="H157" i="3"/>
  <c r="G6" i="3" s="1"/>
  <c r="H7" i="21" s="1"/>
  <c r="S7" i="21" s="1"/>
  <c r="E157" i="3"/>
  <c r="D6" i="3" s="1"/>
  <c r="E7" i="21" s="1"/>
  <c r="P7" i="21" s="1"/>
  <c r="I156" i="3"/>
  <c r="H5" i="3" s="1"/>
  <c r="I6" i="21" s="1"/>
  <c r="T6" i="21" s="1"/>
  <c r="H156" i="3"/>
  <c r="G5" i="3" s="1"/>
  <c r="H6" i="21" s="1"/>
  <c r="S6" i="21" s="1"/>
  <c r="H160" i="3"/>
  <c r="G9" i="3" s="1"/>
  <c r="H10" i="21" s="1"/>
  <c r="S10" i="21" s="1"/>
  <c r="I158" i="3"/>
  <c r="H7" i="3" s="1"/>
  <c r="I8" i="21" s="1"/>
  <c r="T8" i="21" s="1"/>
  <c r="I160" i="3"/>
  <c r="H9" i="3" s="1"/>
  <c r="I10" i="21" s="1"/>
  <c r="T10" i="21" s="1"/>
  <c r="D160" i="3"/>
  <c r="C9" i="3" s="1"/>
  <c r="D10" i="21" s="1"/>
  <c r="O10" i="21" s="1"/>
  <c r="X12" i="2"/>
  <c r="E29" i="29"/>
  <c r="P12" i="2"/>
  <c r="E17" i="29"/>
  <c r="L12" i="2"/>
  <c r="E11" i="29"/>
  <c r="T12" i="2"/>
  <c r="E23" i="29"/>
  <c r="H12" i="2"/>
  <c r="E5" i="29"/>
  <c r="W5" i="13"/>
  <c r="W4" i="11"/>
  <c r="W11" i="12" s="1"/>
  <c r="W28" i="12" s="1"/>
  <c r="T78" i="5"/>
  <c r="W20" i="5"/>
  <c r="W24" i="6"/>
  <c r="W4" i="7"/>
  <c r="W5" i="8"/>
  <c r="K5" i="13"/>
  <c r="K4" i="11"/>
  <c r="K11" i="12" s="1"/>
  <c r="K28" i="12" s="1"/>
  <c r="H78" i="5"/>
  <c r="H86" i="5" s="1"/>
  <c r="K4" i="7"/>
  <c r="K20" i="5"/>
  <c r="K24" i="6"/>
  <c r="K5" i="8"/>
  <c r="A23" i="16"/>
  <c r="B8" i="27"/>
  <c r="V12" i="2"/>
  <c r="C29" i="29"/>
  <c r="N12" i="2"/>
  <c r="C17" i="29"/>
  <c r="F5" i="13"/>
  <c r="F4" i="11"/>
  <c r="C78" i="5"/>
  <c r="C86" i="5" s="1"/>
  <c r="F4" i="7"/>
  <c r="R4" i="33" s="1"/>
  <c r="F20" i="5"/>
  <c r="F24" i="6"/>
  <c r="F5" i="8"/>
  <c r="R5" i="13"/>
  <c r="R4" i="11"/>
  <c r="R11" i="12" s="1"/>
  <c r="R28" i="12" s="1"/>
  <c r="O78" i="5"/>
  <c r="R4" i="7"/>
  <c r="R20" i="5"/>
  <c r="R24" i="6"/>
  <c r="R5" i="8"/>
  <c r="J5" i="13"/>
  <c r="J4" i="11"/>
  <c r="J11" i="12" s="1"/>
  <c r="J28" i="12" s="1"/>
  <c r="G78" i="5"/>
  <c r="G86" i="5" s="1"/>
  <c r="J4" i="7"/>
  <c r="J20" i="5"/>
  <c r="J24" i="6"/>
  <c r="J5" i="8"/>
  <c r="Y12" i="2"/>
  <c r="F29" i="29"/>
  <c r="Q12" i="2"/>
  <c r="F17" i="29"/>
  <c r="M12" i="2"/>
  <c r="F11" i="29"/>
  <c r="B30" i="8"/>
  <c r="B40" i="8" s="1"/>
  <c r="B10" i="8" s="1"/>
  <c r="F10" i="8" s="1"/>
  <c r="C9" i="21"/>
  <c r="C24" i="21" s="1"/>
  <c r="C11" i="21"/>
  <c r="C26" i="21" s="1"/>
  <c r="B32" i="8"/>
  <c r="B23" i="21"/>
  <c r="N8" i="21"/>
  <c r="N10" i="21"/>
  <c r="B25" i="21"/>
  <c r="B9" i="25"/>
  <c r="B16" i="25" s="1"/>
  <c r="B23" i="25" s="1"/>
  <c r="B30" i="25" s="1"/>
  <c r="B37" i="25" s="1"/>
  <c r="B45" i="25" s="1"/>
  <c r="B9" i="24"/>
  <c r="B15" i="24" s="1"/>
  <c r="B21" i="24" s="1"/>
  <c r="B27" i="24" s="1"/>
  <c r="B33" i="24" s="1"/>
  <c r="Y5" i="13"/>
  <c r="Y4" i="11"/>
  <c r="Y11" i="12" s="1"/>
  <c r="Y28" i="12" s="1"/>
  <c r="Y20" i="5"/>
  <c r="V78" i="5"/>
  <c r="Y4" i="7"/>
  <c r="Y24" i="6"/>
  <c r="Y5" i="8"/>
  <c r="U5" i="13"/>
  <c r="U4" i="11"/>
  <c r="U11" i="12" s="1"/>
  <c r="U28" i="12" s="1"/>
  <c r="U24" i="6"/>
  <c r="U20" i="5"/>
  <c r="R78" i="5"/>
  <c r="U4" i="7"/>
  <c r="U5" i="8"/>
  <c r="Q5" i="13"/>
  <c r="Q4" i="11"/>
  <c r="Q11" i="12" s="1"/>
  <c r="Q28" i="12" s="1"/>
  <c r="Q20" i="5"/>
  <c r="N78" i="5"/>
  <c r="N86" i="5" s="1"/>
  <c r="Q4" i="7"/>
  <c r="Q24" i="6"/>
  <c r="Q5" i="8"/>
  <c r="M5" i="13"/>
  <c r="M4" i="11"/>
  <c r="M11" i="12" s="1"/>
  <c r="M28" i="12" s="1"/>
  <c r="M20" i="5"/>
  <c r="M24" i="6"/>
  <c r="J78" i="5"/>
  <c r="J86" i="5" s="1"/>
  <c r="M4" i="7"/>
  <c r="M5" i="8"/>
  <c r="I5" i="13"/>
  <c r="I4" i="11"/>
  <c r="I20" i="5"/>
  <c r="F78" i="5"/>
  <c r="F86" i="5" s="1"/>
  <c r="I4" i="7"/>
  <c r="U4" i="33" s="1"/>
  <c r="I24" i="6"/>
  <c r="I5" i="8"/>
  <c r="E19" i="1"/>
  <c r="D9" i="18" s="1"/>
  <c r="A22" i="16"/>
  <c r="B7" i="27"/>
  <c r="C12" i="21"/>
  <c r="C27" i="21" s="1"/>
  <c r="B33" i="8"/>
  <c r="D158" i="3"/>
  <c r="C7" i="3" s="1"/>
  <c r="N6" i="21"/>
  <c r="B21" i="21"/>
  <c r="N11" i="21"/>
  <c r="B26" i="21"/>
  <c r="B7" i="24"/>
  <c r="B13" i="24" s="1"/>
  <c r="B19" i="24" s="1"/>
  <c r="B25" i="24" s="1"/>
  <c r="B31" i="24" s="1"/>
  <c r="B7" i="25"/>
  <c r="B14" i="25" s="1"/>
  <c r="B21" i="25" s="1"/>
  <c r="B28" i="25" s="1"/>
  <c r="B35" i="25" s="1"/>
  <c r="B43" i="25" s="1"/>
  <c r="S5" i="13"/>
  <c r="S4" i="11"/>
  <c r="S11" i="12" s="1"/>
  <c r="S28" i="12" s="1"/>
  <c r="S20" i="5"/>
  <c r="S4" i="7"/>
  <c r="S24" i="6"/>
  <c r="P78" i="5"/>
  <c r="S5" i="8"/>
  <c r="O5" i="13"/>
  <c r="O4" i="11"/>
  <c r="O11" i="12" s="1"/>
  <c r="O28" i="12" s="1"/>
  <c r="L78" i="5"/>
  <c r="L86" i="5" s="1"/>
  <c r="O20" i="5"/>
  <c r="O24" i="6"/>
  <c r="O4" i="7"/>
  <c r="O5" i="8"/>
  <c r="G5" i="13"/>
  <c r="G4" i="11"/>
  <c r="G4" i="7"/>
  <c r="S4" i="33" s="1"/>
  <c r="G20" i="5"/>
  <c r="G24" i="6"/>
  <c r="D78" i="5"/>
  <c r="D86" i="5" s="1"/>
  <c r="G5" i="8"/>
  <c r="R12" i="2"/>
  <c r="C23" i="29"/>
  <c r="J12" i="2"/>
  <c r="C11" i="29"/>
  <c r="B27" i="8"/>
  <c r="B37" i="8" s="1"/>
  <c r="C6" i="21"/>
  <c r="C21" i="21" s="1"/>
  <c r="N7" i="21"/>
  <c r="B22" i="21"/>
  <c r="B6" i="25"/>
  <c r="B13" i="25" s="1"/>
  <c r="B20" i="25" s="1"/>
  <c r="B27" i="25" s="1"/>
  <c r="B34" i="25" s="1"/>
  <c r="B42" i="25" s="1"/>
  <c r="B6" i="24"/>
  <c r="B12" i="24" s="1"/>
  <c r="B18" i="24" s="1"/>
  <c r="B24" i="24" s="1"/>
  <c r="B30" i="24" s="1"/>
  <c r="V5" i="13"/>
  <c r="V4" i="11"/>
  <c r="V11" i="12" s="1"/>
  <c r="V28" i="12" s="1"/>
  <c r="V20" i="5"/>
  <c r="S78" i="5"/>
  <c r="V4" i="7"/>
  <c r="V24" i="6"/>
  <c r="V5" i="8"/>
  <c r="N5" i="13"/>
  <c r="N4" i="11"/>
  <c r="N11" i="12" s="1"/>
  <c r="N28" i="12" s="1"/>
  <c r="K78" i="5"/>
  <c r="K86" i="5" s="1"/>
  <c r="N4" i="7"/>
  <c r="N20" i="5"/>
  <c r="N24" i="6"/>
  <c r="N5" i="8"/>
  <c r="U12" i="2"/>
  <c r="F23" i="29"/>
  <c r="I12" i="2"/>
  <c r="F5" i="29"/>
  <c r="B29" i="8"/>
  <c r="B39" i="8" s="1"/>
  <c r="B9" i="8" s="1"/>
  <c r="F9" i="8" s="1"/>
  <c r="C8" i="21"/>
  <c r="C23" i="21" s="1"/>
  <c r="G11" i="21"/>
  <c r="R11" i="21" s="1"/>
  <c r="G39" i="11"/>
  <c r="I39" i="32" s="1"/>
  <c r="H158" i="3"/>
  <c r="G7" i="3" s="1"/>
  <c r="H8" i="21" s="1"/>
  <c r="S8" i="21" s="1"/>
  <c r="B31" i="8"/>
  <c r="B41" i="8" s="1"/>
  <c r="B11" i="8" s="1"/>
  <c r="F11" i="8" s="1"/>
  <c r="C10" i="21"/>
  <c r="C25" i="21" s="1"/>
  <c r="B27" i="21"/>
  <c r="N12" i="21"/>
  <c r="B8" i="25"/>
  <c r="B15" i="25" s="1"/>
  <c r="B22" i="25" s="1"/>
  <c r="B29" i="25" s="1"/>
  <c r="B36" i="25" s="1"/>
  <c r="B44" i="25" s="1"/>
  <c r="B8" i="24"/>
  <c r="B14" i="24" s="1"/>
  <c r="B20" i="24" s="1"/>
  <c r="B26" i="24" s="1"/>
  <c r="B32" i="24" s="1"/>
  <c r="X5" i="13"/>
  <c r="X4" i="11"/>
  <c r="X11" i="12" s="1"/>
  <c r="X28" i="12" s="1"/>
  <c r="X24" i="6"/>
  <c r="U78" i="5"/>
  <c r="X20" i="5"/>
  <c r="X4" i="7"/>
  <c r="X5" i="8"/>
  <c r="T5" i="13"/>
  <c r="T4" i="11"/>
  <c r="T11" i="12" s="1"/>
  <c r="T28" i="12" s="1"/>
  <c r="T24" i="6"/>
  <c r="T20" i="5"/>
  <c r="Q78" i="5"/>
  <c r="T4" i="7"/>
  <c r="T5" i="8"/>
  <c r="P5" i="13"/>
  <c r="P4" i="11"/>
  <c r="P11" i="12" s="1"/>
  <c r="P28" i="12" s="1"/>
  <c r="P24" i="6"/>
  <c r="M78" i="5"/>
  <c r="M86" i="5" s="1"/>
  <c r="P4" i="7"/>
  <c r="P20" i="5"/>
  <c r="P5" i="8"/>
  <c r="L5" i="13"/>
  <c r="L4" i="11"/>
  <c r="L11" i="12" s="1"/>
  <c r="L28" i="12" s="1"/>
  <c r="L24" i="6"/>
  <c r="I78" i="5"/>
  <c r="I86" i="5" s="1"/>
  <c r="L20" i="5"/>
  <c r="L4" i="7"/>
  <c r="L5" i="8"/>
  <c r="H5" i="13"/>
  <c r="H4" i="11"/>
  <c r="H24" i="6"/>
  <c r="E78" i="5"/>
  <c r="E86" i="5" s="1"/>
  <c r="H20" i="5"/>
  <c r="H4" i="7"/>
  <c r="T4" i="33" s="1"/>
  <c r="H5" i="8"/>
  <c r="A24" i="16"/>
  <c r="B9" i="27"/>
  <c r="F4" i="2"/>
  <c r="W4" i="2"/>
  <c r="S4" i="2"/>
  <c r="O4" i="2"/>
  <c r="K4" i="2"/>
  <c r="G4" i="2"/>
  <c r="D11" i="21"/>
  <c r="O11" i="21" s="1"/>
  <c r="F39" i="11"/>
  <c r="B28" i="8"/>
  <c r="B38" i="8" s="1"/>
  <c r="C7" i="21"/>
  <c r="C22" i="21" s="1"/>
  <c r="B24" i="21"/>
  <c r="N9" i="21"/>
  <c r="N14" i="21"/>
  <c r="B29" i="21"/>
  <c r="A37" i="16"/>
  <c r="A44" i="15"/>
  <c r="A24" i="11"/>
  <c r="N24" i="32" s="1"/>
  <c r="G24" i="32" s="1"/>
  <c r="C24" i="32" s="1"/>
  <c r="A33" i="16"/>
  <c r="A40" i="15"/>
  <c r="A20" i="11"/>
  <c r="N20" i="32" s="1"/>
  <c r="G20" i="32" s="1"/>
  <c r="C20" i="32" s="1"/>
  <c r="A29" i="16"/>
  <c r="A36" i="15"/>
  <c r="A16" i="11"/>
  <c r="N16" i="32" s="1"/>
  <c r="G16" i="32" s="1"/>
  <c r="C16" i="32" s="1"/>
  <c r="A36" i="16"/>
  <c r="A43" i="15"/>
  <c r="A23" i="11"/>
  <c r="N23" i="32" s="1"/>
  <c r="G23" i="32" s="1"/>
  <c r="C23" i="32" s="1"/>
  <c r="A32" i="16"/>
  <c r="A39" i="15"/>
  <c r="A19" i="11"/>
  <c r="N19" i="32" s="1"/>
  <c r="G19" i="32" s="1"/>
  <c r="C19" i="32" s="1"/>
  <c r="A39" i="16"/>
  <c r="A46" i="15"/>
  <c r="A26" i="11"/>
  <c r="N26" i="32" s="1"/>
  <c r="G26" i="32" s="1"/>
  <c r="C26" i="32" s="1"/>
  <c r="A35" i="16"/>
  <c r="A42" i="15"/>
  <c r="A22" i="11"/>
  <c r="N22" i="32" s="1"/>
  <c r="G22" i="32" s="1"/>
  <c r="C22" i="32" s="1"/>
  <c r="A31" i="16"/>
  <c r="A38" i="15"/>
  <c r="A18" i="11"/>
  <c r="N18" i="32" s="1"/>
  <c r="G18" i="32" s="1"/>
  <c r="C18" i="32" s="1"/>
  <c r="A38" i="16"/>
  <c r="A45" i="15"/>
  <c r="A25" i="11"/>
  <c r="N25" i="32" s="1"/>
  <c r="G25" i="32" s="1"/>
  <c r="C25" i="32" s="1"/>
  <c r="A28" i="16"/>
  <c r="A35" i="15"/>
  <c r="A15" i="11"/>
  <c r="N15" i="32" s="1"/>
  <c r="G15" i="32" s="1"/>
  <c r="C15" i="32" s="1"/>
  <c r="A34" i="16"/>
  <c r="A41" i="15"/>
  <c r="A21" i="11"/>
  <c r="N21" i="32" s="1"/>
  <c r="G21" i="32" s="1"/>
  <c r="C21" i="32" s="1"/>
  <c r="A30" i="16"/>
  <c r="A37" i="15"/>
  <c r="A17" i="11"/>
  <c r="N17" i="32" s="1"/>
  <c r="G17" i="32" s="1"/>
  <c r="C17" i="32" s="1"/>
  <c r="D156" i="3"/>
  <c r="C5" i="3" s="1"/>
  <c r="D6" i="21" s="1"/>
  <c r="O6" i="21" s="1"/>
  <c r="F156" i="3"/>
  <c r="E5" i="3" s="1"/>
  <c r="F6" i="21" s="1"/>
  <c r="Q6" i="21" s="1"/>
  <c r="E158" i="3"/>
  <c r="D7" i="3" s="1"/>
  <c r="E8" i="21" s="1"/>
  <c r="P8" i="21" s="1"/>
  <c r="G158" i="3"/>
  <c r="F7" i="3" s="1"/>
  <c r="G160" i="3"/>
  <c r="F9" i="3" s="1"/>
  <c r="F160" i="3"/>
  <c r="E9" i="3" s="1"/>
  <c r="F10" i="21" s="1"/>
  <c r="Q10" i="21" s="1"/>
  <c r="E156" i="3"/>
  <c r="D5" i="3" s="1"/>
  <c r="E6" i="21" s="1"/>
  <c r="P6" i="21" s="1"/>
  <c r="B31" i="15"/>
  <c r="B23" i="16"/>
  <c r="B30" i="15"/>
  <c r="B22" i="16"/>
  <c r="B32" i="15"/>
  <c r="B24" i="16"/>
  <c r="D32" i="15"/>
  <c r="D24" i="16"/>
  <c r="D31" i="15"/>
  <c r="D23" i="16"/>
  <c r="D30" i="15"/>
  <c r="D22" i="16"/>
  <c r="A8" i="2"/>
  <c r="A32" i="15"/>
  <c r="A6" i="2"/>
  <c r="A30" i="15"/>
  <c r="A7" i="2"/>
  <c r="A31" i="15"/>
  <c r="C11" i="3"/>
  <c r="E159" i="3"/>
  <c r="D8" i="3" s="1"/>
  <c r="E9" i="21" s="1"/>
  <c r="P9" i="21" s="1"/>
  <c r="I159" i="3"/>
  <c r="H8" i="3" s="1"/>
  <c r="I9" i="21" s="1"/>
  <c r="T9" i="21" s="1"/>
  <c r="G159" i="3"/>
  <c r="F159" i="3"/>
  <c r="E8" i="3" s="1"/>
  <c r="F9" i="21" s="1"/>
  <c r="Q9" i="21" s="1"/>
  <c r="D159" i="3"/>
  <c r="H159" i="3"/>
  <c r="G8" i="3" s="1"/>
  <c r="H9" i="21" s="1"/>
  <c r="S9" i="21" s="1"/>
  <c r="J161" i="3"/>
  <c r="I10" i="3" s="1"/>
  <c r="J11" i="21" s="1"/>
  <c r="B163" i="3"/>
  <c r="B12" i="3"/>
  <c r="B20" i="2"/>
  <c r="B16" i="2"/>
  <c r="X18" i="2"/>
  <c r="X19" i="11" s="1"/>
  <c r="B22" i="2"/>
  <c r="B18" i="2"/>
  <c r="F18" i="2" s="1"/>
  <c r="F19" i="11" s="1"/>
  <c r="H19" i="32" s="1"/>
  <c r="R23" i="2"/>
  <c r="R24" i="11" s="1"/>
  <c r="W19" i="2"/>
  <c r="W20" i="11" s="1"/>
  <c r="N15" i="2"/>
  <c r="N16" i="11" s="1"/>
  <c r="N23" i="2"/>
  <c r="N24" i="11" s="1"/>
  <c r="S19" i="2"/>
  <c r="S20" i="11" s="1"/>
  <c r="O18" i="2"/>
  <c r="O19" i="11" s="1"/>
  <c r="J15" i="2"/>
  <c r="J16" i="11" s="1"/>
  <c r="B21" i="2"/>
  <c r="B17" i="2"/>
  <c r="J23" i="2"/>
  <c r="J24" i="11" s="1"/>
  <c r="O19" i="2"/>
  <c r="O20" i="11" s="1"/>
  <c r="V15" i="2"/>
  <c r="V16" i="11" s="1"/>
  <c r="V23" i="2"/>
  <c r="V24" i="11" s="1"/>
  <c r="O22" i="2"/>
  <c r="O23" i="11" s="1"/>
  <c r="K19" i="2"/>
  <c r="K20" i="11" s="1"/>
  <c r="R15" i="2"/>
  <c r="R16" i="11" s="1"/>
  <c r="B23" i="2"/>
  <c r="B19" i="2"/>
  <c r="B15" i="2"/>
  <c r="H22" i="2"/>
  <c r="H23" i="11" s="1"/>
  <c r="T22" i="2"/>
  <c r="T23" i="11" s="1"/>
  <c r="K22" i="2"/>
  <c r="K23" i="11" s="1"/>
  <c r="U20" i="2"/>
  <c r="U21" i="11" s="1"/>
  <c r="O20" i="2"/>
  <c r="O21" i="11" s="1"/>
  <c r="J20" i="2"/>
  <c r="J21" i="11" s="1"/>
  <c r="S18" i="2"/>
  <c r="S19" i="11" s="1"/>
  <c r="Y16" i="2"/>
  <c r="Y17" i="11" s="1"/>
  <c r="S16" i="2"/>
  <c r="S17" i="11" s="1"/>
  <c r="N16" i="2"/>
  <c r="N17" i="11" s="1"/>
  <c r="I16" i="2"/>
  <c r="I17" i="11" s="1"/>
  <c r="K17" i="32" s="1"/>
  <c r="H21" i="2"/>
  <c r="H22" i="11" s="1"/>
  <c r="S23" i="2"/>
  <c r="S24" i="11" s="1"/>
  <c r="K23" i="2"/>
  <c r="K24" i="11" s="1"/>
  <c r="S22" i="2"/>
  <c r="S23" i="11" s="1"/>
  <c r="Y20" i="2"/>
  <c r="Y21" i="11" s="1"/>
  <c r="S20" i="2"/>
  <c r="S21" i="11" s="1"/>
  <c r="N20" i="2"/>
  <c r="N21" i="11" s="1"/>
  <c r="I20" i="2"/>
  <c r="I21" i="11" s="1"/>
  <c r="K21" i="32" s="1"/>
  <c r="R19" i="2"/>
  <c r="R20" i="11" s="1"/>
  <c r="J19" i="2"/>
  <c r="J20" i="11" s="1"/>
  <c r="P18" i="2"/>
  <c r="P19" i="11" s="1"/>
  <c r="W16" i="2"/>
  <c r="W17" i="11" s="1"/>
  <c r="R16" i="2"/>
  <c r="R17" i="11" s="1"/>
  <c r="M16" i="2"/>
  <c r="M17" i="11" s="1"/>
  <c r="W15" i="2"/>
  <c r="W16" i="11" s="1"/>
  <c r="O15" i="2"/>
  <c r="O16" i="11" s="1"/>
  <c r="W20" i="2"/>
  <c r="W21" i="11" s="1"/>
  <c r="R20" i="2"/>
  <c r="R21" i="11" s="1"/>
  <c r="M20" i="2"/>
  <c r="M21" i="11" s="1"/>
  <c r="V16" i="2"/>
  <c r="V17" i="11" s="1"/>
  <c r="Q16" i="2"/>
  <c r="Q17" i="11" s="1"/>
  <c r="K16" i="2"/>
  <c r="K17" i="11" s="1"/>
  <c r="W23" i="2"/>
  <c r="W24" i="11" s="1"/>
  <c r="O23" i="2"/>
  <c r="O24" i="11" s="1"/>
  <c r="W22" i="2"/>
  <c r="W23" i="11" s="1"/>
  <c r="V20" i="2"/>
  <c r="V21" i="11" s="1"/>
  <c r="Q20" i="2"/>
  <c r="Q21" i="11" s="1"/>
  <c r="K20" i="2"/>
  <c r="K21" i="11" s="1"/>
  <c r="V19" i="2"/>
  <c r="V20" i="11" s="1"/>
  <c r="N19" i="2"/>
  <c r="N20" i="11" s="1"/>
  <c r="W18" i="2"/>
  <c r="W19" i="11" s="1"/>
  <c r="U16" i="2"/>
  <c r="U17" i="11" s="1"/>
  <c r="O16" i="2"/>
  <c r="O17" i="11" s="1"/>
  <c r="J16" i="2"/>
  <c r="J17" i="11" s="1"/>
  <c r="S15" i="2"/>
  <c r="S16" i="11" s="1"/>
  <c r="K15" i="2"/>
  <c r="K16" i="11" s="1"/>
  <c r="T21" i="2"/>
  <c r="T22" i="11" s="1"/>
  <c r="L21" i="2"/>
  <c r="L22" i="11" s="1"/>
  <c r="X17" i="2"/>
  <c r="X18" i="11" s="1"/>
  <c r="P17" i="2"/>
  <c r="P18" i="11" s="1"/>
  <c r="I22" i="2"/>
  <c r="I23" i="11" s="1"/>
  <c r="K23" i="32" s="1"/>
  <c r="M22" i="2"/>
  <c r="M23" i="11" s="1"/>
  <c r="Q22" i="2"/>
  <c r="Q23" i="11" s="1"/>
  <c r="U22" i="2"/>
  <c r="U23" i="11" s="1"/>
  <c r="Y22" i="2"/>
  <c r="Y23" i="11" s="1"/>
  <c r="J22" i="2"/>
  <c r="J23" i="11" s="1"/>
  <c r="N22" i="2"/>
  <c r="N23" i="11" s="1"/>
  <c r="R22" i="2"/>
  <c r="R23" i="11" s="1"/>
  <c r="V22" i="2"/>
  <c r="V23" i="11" s="1"/>
  <c r="I18" i="2"/>
  <c r="I19" i="11" s="1"/>
  <c r="K19" i="32" s="1"/>
  <c r="M18" i="2"/>
  <c r="M19" i="11" s="1"/>
  <c r="Q18" i="2"/>
  <c r="Q19" i="11" s="1"/>
  <c r="U18" i="2"/>
  <c r="U19" i="11" s="1"/>
  <c r="Y18" i="2"/>
  <c r="Y19" i="11" s="1"/>
  <c r="J18" i="2"/>
  <c r="J19" i="11" s="1"/>
  <c r="N18" i="2"/>
  <c r="N19" i="11" s="1"/>
  <c r="R18" i="2"/>
  <c r="R19" i="11" s="1"/>
  <c r="V18" i="2"/>
  <c r="V19" i="11" s="1"/>
  <c r="H18" i="2"/>
  <c r="H19" i="11" s="1"/>
  <c r="X22" i="2"/>
  <c r="X23" i="11" s="1"/>
  <c r="P22" i="2"/>
  <c r="P23" i="11" s="1"/>
  <c r="Y21" i="2"/>
  <c r="Y22" i="11" s="1"/>
  <c r="Q21" i="2"/>
  <c r="Q22" i="11" s="1"/>
  <c r="T18" i="2"/>
  <c r="T19" i="11" s="1"/>
  <c r="L18" i="2"/>
  <c r="L19" i="11" s="1"/>
  <c r="U17" i="2"/>
  <c r="U18" i="11" s="1"/>
  <c r="J21" i="2"/>
  <c r="J22" i="11" s="1"/>
  <c r="N21" i="2"/>
  <c r="N22" i="11" s="1"/>
  <c r="R21" i="2"/>
  <c r="R22" i="11" s="1"/>
  <c r="V21" i="2"/>
  <c r="V22" i="11" s="1"/>
  <c r="K21" i="2"/>
  <c r="K22" i="11" s="1"/>
  <c r="O21" i="2"/>
  <c r="O22" i="11" s="1"/>
  <c r="S21" i="2"/>
  <c r="S22" i="11" s="1"/>
  <c r="W21" i="2"/>
  <c r="W22" i="11" s="1"/>
  <c r="J17" i="2"/>
  <c r="J18" i="11" s="1"/>
  <c r="N17" i="2"/>
  <c r="N18" i="11" s="1"/>
  <c r="R17" i="2"/>
  <c r="R18" i="11" s="1"/>
  <c r="V17" i="2"/>
  <c r="V18" i="11" s="1"/>
  <c r="K17" i="2"/>
  <c r="K18" i="11" s="1"/>
  <c r="O17" i="2"/>
  <c r="O18" i="11" s="1"/>
  <c r="S17" i="2"/>
  <c r="S18" i="11" s="1"/>
  <c r="W17" i="2"/>
  <c r="W18" i="11" s="1"/>
  <c r="H17" i="2"/>
  <c r="H18" i="11" s="1"/>
  <c r="X21" i="2"/>
  <c r="X22" i="11" s="1"/>
  <c r="P21" i="2"/>
  <c r="P22" i="11" s="1"/>
  <c r="T17" i="2"/>
  <c r="T18" i="11" s="1"/>
  <c r="L17" i="2"/>
  <c r="L18" i="11" s="1"/>
  <c r="U21" i="2"/>
  <c r="U22" i="11" s="1"/>
  <c r="M21" i="2"/>
  <c r="M22" i="11" s="1"/>
  <c r="Y17" i="2"/>
  <c r="Y18" i="11" s="1"/>
  <c r="Q17" i="2"/>
  <c r="Q18" i="11" s="1"/>
  <c r="I17" i="2"/>
  <c r="I18" i="11" s="1"/>
  <c r="K18" i="32" s="1"/>
  <c r="H20" i="2"/>
  <c r="H21" i="11" s="1"/>
  <c r="H16" i="2"/>
  <c r="H17" i="11" s="1"/>
  <c r="Y23" i="2"/>
  <c r="Y24" i="11" s="1"/>
  <c r="U23" i="2"/>
  <c r="U24" i="11" s="1"/>
  <c r="Q23" i="2"/>
  <c r="Q24" i="11" s="1"/>
  <c r="M23" i="2"/>
  <c r="M24" i="11" s="1"/>
  <c r="I23" i="2"/>
  <c r="I24" i="11" s="1"/>
  <c r="K24" i="32" s="1"/>
  <c r="X20" i="2"/>
  <c r="X21" i="11" s="1"/>
  <c r="T20" i="2"/>
  <c r="T21" i="11" s="1"/>
  <c r="P20" i="2"/>
  <c r="P21" i="11" s="1"/>
  <c r="Y19" i="2"/>
  <c r="Y20" i="11" s="1"/>
  <c r="U19" i="2"/>
  <c r="U20" i="11" s="1"/>
  <c r="Q19" i="2"/>
  <c r="Q20" i="11" s="1"/>
  <c r="M19" i="2"/>
  <c r="M20" i="11" s="1"/>
  <c r="I19" i="2"/>
  <c r="I20" i="11" s="1"/>
  <c r="K20" i="32" s="1"/>
  <c r="X16" i="2"/>
  <c r="X17" i="11" s="1"/>
  <c r="T16" i="2"/>
  <c r="T17" i="11" s="1"/>
  <c r="P16" i="2"/>
  <c r="P17" i="11" s="1"/>
  <c r="Y15" i="2"/>
  <c r="Y16" i="11" s="1"/>
  <c r="U15" i="2"/>
  <c r="U16" i="11" s="1"/>
  <c r="Q15" i="2"/>
  <c r="Q16" i="11" s="1"/>
  <c r="M15" i="2"/>
  <c r="M16" i="11" s="1"/>
  <c r="I15" i="2"/>
  <c r="I16" i="11" s="1"/>
  <c r="K16" i="32" s="1"/>
  <c r="H23" i="2"/>
  <c r="H24" i="11" s="1"/>
  <c r="H19" i="2"/>
  <c r="H20" i="11" s="1"/>
  <c r="H15" i="2"/>
  <c r="H16" i="11" s="1"/>
  <c r="X23" i="2"/>
  <c r="X24" i="11" s="1"/>
  <c r="T23" i="2"/>
  <c r="T24" i="11" s="1"/>
  <c r="P23" i="2"/>
  <c r="P24" i="11" s="1"/>
  <c r="X19" i="2"/>
  <c r="X20" i="11" s="1"/>
  <c r="T19" i="2"/>
  <c r="T20" i="11" s="1"/>
  <c r="P19" i="2"/>
  <c r="P20" i="11" s="1"/>
  <c r="X15" i="2"/>
  <c r="X16" i="11" s="1"/>
  <c r="T15" i="2"/>
  <c r="T16" i="11" s="1"/>
  <c r="P15" i="2"/>
  <c r="P16" i="11" s="1"/>
  <c r="D77" i="2"/>
  <c r="E63" i="2"/>
  <c r="F63" i="2" s="1"/>
  <c r="L5" i="19" s="1"/>
  <c r="F64" i="2"/>
  <c r="L6" i="19" s="1"/>
  <c r="L47" i="23"/>
  <c r="L46" i="23"/>
  <c r="D5" i="1"/>
  <c r="G25" i="28" l="1"/>
  <c r="F15" i="2"/>
  <c r="Z15" i="2" s="1"/>
  <c r="G27" i="28"/>
  <c r="F17" i="2"/>
  <c r="F18" i="11" s="1"/>
  <c r="H18" i="32" s="1"/>
  <c r="G26" i="28"/>
  <c r="F16" i="2"/>
  <c r="F17" i="11" s="1"/>
  <c r="H17" i="32" s="1"/>
  <c r="G31" i="28"/>
  <c r="F21" i="2"/>
  <c r="F22" i="11" s="1"/>
  <c r="H22" i="32" s="1"/>
  <c r="G32" i="28"/>
  <c r="F22" i="2"/>
  <c r="F23" i="11" s="1"/>
  <c r="H23" i="32" s="1"/>
  <c r="G30" i="28"/>
  <c r="F20" i="2"/>
  <c r="F21" i="11" s="1"/>
  <c r="H21" i="32" s="1"/>
  <c r="G29" i="28"/>
  <c r="F19" i="2"/>
  <c r="Z19" i="2" s="1"/>
  <c r="G33" i="28"/>
  <c r="F23" i="2"/>
  <c r="E77" i="2"/>
  <c r="F77" i="2" s="1"/>
  <c r="K19" i="19"/>
  <c r="D37" i="8"/>
  <c r="B7" i="8"/>
  <c r="F7" i="8" s="1"/>
  <c r="H37" i="6"/>
  <c r="F24" i="11"/>
  <c r="H24" i="32" s="1"/>
  <c r="G24" i="11"/>
  <c r="I24" i="32" s="1"/>
  <c r="G21" i="11"/>
  <c r="I21" i="32" s="1"/>
  <c r="G20" i="11"/>
  <c r="I20" i="32" s="1"/>
  <c r="G40" i="11"/>
  <c r="I40" i="32" s="1"/>
  <c r="G16" i="11"/>
  <c r="G28" i="28"/>
  <c r="C18" i="2"/>
  <c r="P23" i="32"/>
  <c r="P19" i="32"/>
  <c r="R23" i="32"/>
  <c r="R21" i="32"/>
  <c r="P18" i="32"/>
  <c r="Q21" i="32"/>
  <c r="S19" i="32"/>
  <c r="J162" i="3"/>
  <c r="I11" i="3" s="1"/>
  <c r="J12" i="21" s="1"/>
  <c r="D40" i="8"/>
  <c r="B18" i="8" s="1"/>
  <c r="D39" i="8"/>
  <c r="D41" i="8"/>
  <c r="B19" i="8" s="1"/>
  <c r="J157" i="3"/>
  <c r="I6" i="3" s="1"/>
  <c r="J7" i="21" s="1"/>
  <c r="F35" i="11"/>
  <c r="H35" i="32" s="1"/>
  <c r="G35" i="11"/>
  <c r="I35" i="32" s="1"/>
  <c r="D38" i="8"/>
  <c r="I36" i="6"/>
  <c r="J36" i="6" s="1"/>
  <c r="B8" i="8"/>
  <c r="F8" i="8" s="1"/>
  <c r="F12" i="8" s="1"/>
  <c r="F32" i="6" s="1"/>
  <c r="F33" i="6" s="1"/>
  <c r="Q23" i="32"/>
  <c r="F36" i="11"/>
  <c r="D8" i="21"/>
  <c r="O8" i="21" s="1"/>
  <c r="J17" i="32"/>
  <c r="O17" i="32"/>
  <c r="P22" i="32"/>
  <c r="J19" i="32"/>
  <c r="O19" i="32"/>
  <c r="P16" i="32"/>
  <c r="B34" i="8"/>
  <c r="C13" i="21"/>
  <c r="C28" i="21" s="1"/>
  <c r="G12" i="2"/>
  <c r="D5" i="29"/>
  <c r="X31" i="6"/>
  <c r="X35" i="6" s="1"/>
  <c r="X4" i="6"/>
  <c r="I11" i="12"/>
  <c r="I28" i="12" s="1"/>
  <c r="K4" i="32"/>
  <c r="K31" i="32" s="1"/>
  <c r="K45" i="32" s="1"/>
  <c r="J21" i="32"/>
  <c r="P20" i="32"/>
  <c r="P24" i="32"/>
  <c r="K12" i="2"/>
  <c r="D11" i="29"/>
  <c r="F12" i="2"/>
  <c r="C5" i="29"/>
  <c r="H11" i="12"/>
  <c r="H28" i="12" s="1"/>
  <c r="J4" i="32"/>
  <c r="J31" i="32" s="1"/>
  <c r="J45" i="32" s="1"/>
  <c r="T31" i="6"/>
  <c r="T35" i="6" s="1"/>
  <c r="T4" i="6"/>
  <c r="W31" i="6"/>
  <c r="W35" i="6" s="1"/>
  <c r="W4" i="6"/>
  <c r="J20" i="32"/>
  <c r="R18" i="32"/>
  <c r="R22" i="32"/>
  <c r="R19" i="32"/>
  <c r="S23" i="32"/>
  <c r="P17" i="32"/>
  <c r="Q20" i="32"/>
  <c r="S21" i="32"/>
  <c r="R17" i="32"/>
  <c r="R20" i="32"/>
  <c r="S24" i="32"/>
  <c r="R24" i="32"/>
  <c r="D12" i="21"/>
  <c r="O12" i="21" s="1"/>
  <c r="F40" i="11"/>
  <c r="A13" i="11"/>
  <c r="N13" i="32" s="1"/>
  <c r="G13" i="32" s="1"/>
  <c r="C13" i="32" s="1"/>
  <c r="G9" i="27"/>
  <c r="G38" i="11"/>
  <c r="I38" i="32" s="1"/>
  <c r="G10" i="21"/>
  <c r="R10" i="21" s="1"/>
  <c r="O12" i="2"/>
  <c r="D17" i="29"/>
  <c r="P31" i="6"/>
  <c r="P35" i="6" s="1"/>
  <c r="P4" i="6"/>
  <c r="V31" i="6"/>
  <c r="V35" i="6" s="1"/>
  <c r="V4" i="6"/>
  <c r="S31" i="6"/>
  <c r="S35" i="6" s="1"/>
  <c r="S4" i="6"/>
  <c r="Q31" i="6"/>
  <c r="Q35" i="6" s="1"/>
  <c r="Q4" i="6"/>
  <c r="F31" i="6"/>
  <c r="F35" i="6" s="1"/>
  <c r="F4" i="6"/>
  <c r="F11" i="12"/>
  <c r="F28" i="12" s="1"/>
  <c r="H4" i="32"/>
  <c r="H31" i="32" s="1"/>
  <c r="H45" i="32" s="1"/>
  <c r="J18" i="32"/>
  <c r="O18" i="32"/>
  <c r="Q16" i="32"/>
  <c r="A11" i="11"/>
  <c r="N11" i="32" s="1"/>
  <c r="G11" i="32" s="1"/>
  <c r="C11" i="32" s="1"/>
  <c r="G7" i="27"/>
  <c r="H39" i="32"/>
  <c r="O39" i="32"/>
  <c r="Z39" i="11"/>
  <c r="D39" i="32" s="1"/>
  <c r="W12" i="2"/>
  <c r="D29" i="29"/>
  <c r="H31" i="6"/>
  <c r="H35" i="6" s="1"/>
  <c r="H4" i="6"/>
  <c r="G31" i="6"/>
  <c r="G35" i="6" s="1"/>
  <c r="G4" i="6"/>
  <c r="I31" i="6"/>
  <c r="I35" i="6" s="1"/>
  <c r="I4" i="6"/>
  <c r="U31" i="6"/>
  <c r="U35" i="6" s="1"/>
  <c r="U4" i="6"/>
  <c r="Y31" i="6"/>
  <c r="Y35" i="6" s="1"/>
  <c r="Y4" i="6"/>
  <c r="J31" i="6"/>
  <c r="J35" i="6" s="1"/>
  <c r="J4" i="6"/>
  <c r="J16" i="32"/>
  <c r="S18" i="32"/>
  <c r="S22" i="32"/>
  <c r="J22" i="32"/>
  <c r="M31" i="6"/>
  <c r="M35" i="6" s="1"/>
  <c r="M4" i="6"/>
  <c r="K31" i="6"/>
  <c r="K35" i="6" s="1"/>
  <c r="K4" i="6"/>
  <c r="B96" i="3"/>
  <c r="G96" i="3" s="1"/>
  <c r="L45" i="23"/>
  <c r="L48" i="23" s="1"/>
  <c r="J24" i="32"/>
  <c r="Q18" i="32"/>
  <c r="Q22" i="32"/>
  <c r="Q19" i="32"/>
  <c r="S20" i="32"/>
  <c r="S17" i="32"/>
  <c r="Q17" i="32"/>
  <c r="P21" i="32"/>
  <c r="J23" i="32"/>
  <c r="R16" i="32"/>
  <c r="S16" i="32"/>
  <c r="Q24" i="32"/>
  <c r="A12" i="11"/>
  <c r="N12" i="32" s="1"/>
  <c r="G12" i="32" s="1"/>
  <c r="C12" i="32" s="1"/>
  <c r="G8" i="27"/>
  <c r="G36" i="11"/>
  <c r="I36" i="32" s="1"/>
  <c r="G8" i="21"/>
  <c r="R8" i="21" s="1"/>
  <c r="S12" i="2"/>
  <c r="D23" i="29"/>
  <c r="L31" i="6"/>
  <c r="L35" i="6" s="1"/>
  <c r="L4" i="6"/>
  <c r="N31" i="6"/>
  <c r="N35" i="6" s="1"/>
  <c r="N4" i="6"/>
  <c r="G11" i="12"/>
  <c r="G28" i="12" s="1"/>
  <c r="I4" i="32"/>
  <c r="I31" i="32" s="1"/>
  <c r="I45" i="32" s="1"/>
  <c r="O31" i="6"/>
  <c r="O35" i="6" s="1"/>
  <c r="O4" i="6"/>
  <c r="R31" i="6"/>
  <c r="R35" i="6" s="1"/>
  <c r="R4" i="6"/>
  <c r="C23" i="2"/>
  <c r="H33" i="28" s="1"/>
  <c r="E44" i="15"/>
  <c r="C17" i="2"/>
  <c r="H27" i="28" s="1"/>
  <c r="E38" i="15"/>
  <c r="C21" i="2"/>
  <c r="H31" i="28" s="1"/>
  <c r="E42" i="15"/>
  <c r="Z18" i="11"/>
  <c r="D18" i="32" s="1"/>
  <c r="C22" i="2"/>
  <c r="H32" i="28" s="1"/>
  <c r="E43" i="15"/>
  <c r="C20" i="2"/>
  <c r="H30" i="28" s="1"/>
  <c r="E41" i="15"/>
  <c r="C19" i="2"/>
  <c r="H29" i="28" s="1"/>
  <c r="E40" i="15"/>
  <c r="J158" i="3"/>
  <c r="I7" i="3" s="1"/>
  <c r="J8" i="21" s="1"/>
  <c r="F29" i="25"/>
  <c r="B97" i="3"/>
  <c r="H10" i="8"/>
  <c r="F38" i="11"/>
  <c r="J160" i="3"/>
  <c r="I9" i="3" s="1"/>
  <c r="J10" i="21" s="1"/>
  <c r="F19" i="8"/>
  <c r="G11" i="8" s="1"/>
  <c r="G34" i="11"/>
  <c r="I34" i="32" s="1"/>
  <c r="J156" i="3"/>
  <c r="I5" i="3" s="1"/>
  <c r="J6" i="21" s="1"/>
  <c r="F34" i="11"/>
  <c r="H8" i="6"/>
  <c r="H14" i="7"/>
  <c r="H28" i="28"/>
  <c r="E39" i="15"/>
  <c r="Z17" i="11"/>
  <c r="D17" i="32" s="1"/>
  <c r="C16" i="2"/>
  <c r="H26" i="28" s="1"/>
  <c r="E37" i="15"/>
  <c r="C15" i="2"/>
  <c r="H25" i="28" s="1"/>
  <c r="E36" i="15"/>
  <c r="B98" i="3"/>
  <c r="E5" i="1"/>
  <c r="AA5" i="1" s="1"/>
  <c r="Z19" i="11"/>
  <c r="D19" i="32" s="1"/>
  <c r="E163" i="3"/>
  <c r="D12" i="3" s="1"/>
  <c r="E13" i="21" s="1"/>
  <c r="P13" i="21" s="1"/>
  <c r="I163" i="3"/>
  <c r="H12" i="3" s="1"/>
  <c r="I13" i="21" s="1"/>
  <c r="T13" i="21" s="1"/>
  <c r="F163" i="3"/>
  <c r="G163" i="3"/>
  <c r="F12" i="3" s="1"/>
  <c r="G13" i="21" s="1"/>
  <c r="R13" i="21" s="1"/>
  <c r="H163" i="3"/>
  <c r="G12" i="3" s="1"/>
  <c r="H13" i="21" s="1"/>
  <c r="S13" i="21" s="1"/>
  <c r="D163" i="3"/>
  <c r="J159" i="3"/>
  <c r="I8" i="3" s="1"/>
  <c r="J9" i="21" s="1"/>
  <c r="C8" i="3"/>
  <c r="F8" i="3"/>
  <c r="Z21" i="2"/>
  <c r="Z23" i="2"/>
  <c r="Z16" i="2"/>
  <c r="Z17" i="2"/>
  <c r="Z18" i="2"/>
  <c r="D8" i="1"/>
  <c r="G19" i="8" l="1"/>
  <c r="H11" i="8" s="1"/>
  <c r="H19" i="8" s="1"/>
  <c r="F18" i="8"/>
  <c r="G18" i="8" s="1"/>
  <c r="Z23" i="11"/>
  <c r="D23" i="32" s="1"/>
  <c r="O23" i="32"/>
  <c r="Z22" i="11"/>
  <c r="D22" i="32" s="1"/>
  <c r="O22" i="32"/>
  <c r="Z20" i="2"/>
  <c r="F20" i="11"/>
  <c r="H20" i="32" s="1"/>
  <c r="Z22" i="2"/>
  <c r="F13" i="7"/>
  <c r="R13" i="33" s="1"/>
  <c r="F6" i="6"/>
  <c r="O24" i="32"/>
  <c r="Z24" i="11"/>
  <c r="D24" i="32" s="1"/>
  <c r="Z21" i="11"/>
  <c r="D21" i="32" s="1"/>
  <c r="O21" i="32"/>
  <c r="B17" i="8"/>
  <c r="F17" i="8"/>
  <c r="G9" i="8" s="1"/>
  <c r="B16" i="8"/>
  <c r="F16" i="8"/>
  <c r="G8" i="8" s="1"/>
  <c r="B15" i="8"/>
  <c r="F15" i="8"/>
  <c r="G7" i="8" s="1"/>
  <c r="O35" i="32"/>
  <c r="I16" i="32"/>
  <c r="F16" i="11"/>
  <c r="D36" i="25"/>
  <c r="Z35" i="11"/>
  <c r="D35" i="32" s="1"/>
  <c r="I37" i="6"/>
  <c r="I14" i="7" s="1"/>
  <c r="U14" i="33" s="1"/>
  <c r="F96" i="3"/>
  <c r="F22" i="25"/>
  <c r="C36" i="25"/>
  <c r="D96" i="3"/>
  <c r="D8" i="25"/>
  <c r="E8" i="25"/>
  <c r="C45" i="2"/>
  <c r="L19" i="19"/>
  <c r="E22" i="15"/>
  <c r="B65" i="15" s="1"/>
  <c r="B6" i="2"/>
  <c r="H7" i="27" s="1"/>
  <c r="M45" i="23"/>
  <c r="H34" i="32"/>
  <c r="O34" i="32"/>
  <c r="Y5" i="1"/>
  <c r="F35" i="25" s="1"/>
  <c r="I96" i="3"/>
  <c r="H96" i="3"/>
  <c r="E24" i="15"/>
  <c r="B67" i="15" s="1"/>
  <c r="M47" i="23"/>
  <c r="Z38" i="11"/>
  <c r="D38" i="32" s="1"/>
  <c r="H38" i="32"/>
  <c r="O38" i="32"/>
  <c r="E15" i="25"/>
  <c r="M46" i="23"/>
  <c r="F37" i="11"/>
  <c r="D9" i="21"/>
  <c r="O9" i="21" s="1"/>
  <c r="L5" i="1"/>
  <c r="E14" i="25" s="1"/>
  <c r="G37" i="11"/>
  <c r="I37" i="32" s="1"/>
  <c r="G9" i="21"/>
  <c r="R9" i="21" s="1"/>
  <c r="E96" i="3"/>
  <c r="T14" i="33"/>
  <c r="O40" i="32"/>
  <c r="H40" i="32"/>
  <c r="Z40" i="11"/>
  <c r="D40" i="32" s="1"/>
  <c r="Z36" i="11"/>
  <c r="D36" i="32" s="1"/>
  <c r="O36" i="32"/>
  <c r="H36" i="32"/>
  <c r="Z34" i="11"/>
  <c r="D34" i="32" s="1"/>
  <c r="E36" i="25"/>
  <c r="D22" i="25"/>
  <c r="R7" i="11"/>
  <c r="C22" i="25"/>
  <c r="E29" i="25"/>
  <c r="M7" i="2"/>
  <c r="M12" i="11" s="1"/>
  <c r="P7" i="2"/>
  <c r="P12" i="11" s="1"/>
  <c r="Y7" i="2"/>
  <c r="Y12" i="11" s="1"/>
  <c r="L8" i="2"/>
  <c r="L13" i="11" s="1"/>
  <c r="Q5" i="1"/>
  <c r="V5" i="1"/>
  <c r="C35" i="25" s="1"/>
  <c r="I5" i="1"/>
  <c r="I6" i="11" s="1"/>
  <c r="K6" i="32" s="1"/>
  <c r="O5" i="1"/>
  <c r="D21" i="25" s="1"/>
  <c r="W5" i="1"/>
  <c r="N5" i="1"/>
  <c r="C21" i="25" s="1"/>
  <c r="T5" i="1"/>
  <c r="G5" i="1"/>
  <c r="U7" i="11"/>
  <c r="U7" i="2"/>
  <c r="U12" i="11" s="1"/>
  <c r="B99" i="3"/>
  <c r="W7" i="2"/>
  <c r="W12" i="11" s="1"/>
  <c r="W7" i="11"/>
  <c r="E97" i="3"/>
  <c r="G97" i="3"/>
  <c r="D97" i="3"/>
  <c r="F97" i="3"/>
  <c r="H97" i="3"/>
  <c r="I97" i="3"/>
  <c r="E23" i="15"/>
  <c r="B66" i="15" s="1"/>
  <c r="B7" i="2"/>
  <c r="H8" i="27" s="1"/>
  <c r="F5" i="1"/>
  <c r="J5" i="1"/>
  <c r="M5" i="1"/>
  <c r="P5" i="1"/>
  <c r="P6" i="11" s="1"/>
  <c r="S5" i="1"/>
  <c r="S6" i="11" s="1"/>
  <c r="R5" i="1"/>
  <c r="R6" i="11" s="1"/>
  <c r="U5" i="1"/>
  <c r="U6" i="11" s="1"/>
  <c r="X5" i="1"/>
  <c r="H5" i="1"/>
  <c r="H6" i="11" s="1"/>
  <c r="J6" i="32" s="1"/>
  <c r="K5" i="1"/>
  <c r="K6" i="11" s="1"/>
  <c r="H18" i="8"/>
  <c r="I10" i="8" s="1"/>
  <c r="J37" i="6"/>
  <c r="K36" i="6"/>
  <c r="F37" i="25"/>
  <c r="E8" i="1"/>
  <c r="E9" i="25"/>
  <c r="G41" i="11"/>
  <c r="I41" i="32" s="1"/>
  <c r="D98" i="3"/>
  <c r="G98" i="3"/>
  <c r="H98" i="3"/>
  <c r="I98" i="3"/>
  <c r="E98" i="3"/>
  <c r="F98" i="3"/>
  <c r="B8" i="2"/>
  <c r="H9" i="27" s="1"/>
  <c r="E12" i="3"/>
  <c r="F13" i="21" s="1"/>
  <c r="Q13" i="21" s="1"/>
  <c r="J163" i="3"/>
  <c r="I12" i="3" s="1"/>
  <c r="J13" i="21" s="1"/>
  <c r="C12" i="3"/>
  <c r="D13" i="21" s="1"/>
  <c r="O13" i="21" s="1"/>
  <c r="F20" i="8" l="1"/>
  <c r="F15" i="7" s="1"/>
  <c r="O20" i="32"/>
  <c r="Z20" i="11"/>
  <c r="D20" i="32" s="1"/>
  <c r="C55" i="2"/>
  <c r="C56" i="2"/>
  <c r="G17" i="8"/>
  <c r="H9" i="8" s="1"/>
  <c r="H17" i="8" s="1"/>
  <c r="G12" i="8"/>
  <c r="G32" i="6" s="1"/>
  <c r="G33" i="6" s="1"/>
  <c r="G16" i="8"/>
  <c r="G15" i="8"/>
  <c r="H7" i="8" s="1"/>
  <c r="I11" i="8"/>
  <c r="H16" i="32"/>
  <c r="Z16" i="11"/>
  <c r="D16" i="32" s="1"/>
  <c r="O16" i="32"/>
  <c r="D7" i="28"/>
  <c r="G7" i="2"/>
  <c r="G12" i="11" s="1"/>
  <c r="I12" i="32" s="1"/>
  <c r="Y6" i="11"/>
  <c r="N6" i="11"/>
  <c r="T7" i="2"/>
  <c r="T12" i="11" s="1"/>
  <c r="V7" i="11"/>
  <c r="O7" i="2"/>
  <c r="O12" i="11" s="1"/>
  <c r="I8" i="6"/>
  <c r="H7" i="11"/>
  <c r="J7" i="32" s="1"/>
  <c r="Q7" i="2"/>
  <c r="Q12" i="11" s="1"/>
  <c r="Q7" i="11"/>
  <c r="L7" i="11"/>
  <c r="D45" i="2"/>
  <c r="G14" i="2" s="1"/>
  <c r="B104" i="3"/>
  <c r="B121" i="3" s="1"/>
  <c r="E121" i="3" s="1"/>
  <c r="D28" i="16"/>
  <c r="F28" i="16" s="1"/>
  <c r="E28" i="16" s="1"/>
  <c r="O7" i="11"/>
  <c r="T7" i="11"/>
  <c r="G7" i="11"/>
  <c r="I7" i="32" s="1"/>
  <c r="V7" i="2"/>
  <c r="V12" i="11" s="1"/>
  <c r="Y6" i="2"/>
  <c r="Y11" i="11" s="1"/>
  <c r="V6" i="2"/>
  <c r="V11" i="11" s="1"/>
  <c r="N6" i="2"/>
  <c r="N11" i="11" s="1"/>
  <c r="L6" i="2"/>
  <c r="L11" i="11" s="1"/>
  <c r="L6" i="11"/>
  <c r="V6" i="11"/>
  <c r="H7" i="2"/>
  <c r="H12" i="11" s="1"/>
  <c r="J12" i="32" s="1"/>
  <c r="L7" i="2"/>
  <c r="L12" i="11" s="1"/>
  <c r="G8" i="11"/>
  <c r="I8" i="32" s="1"/>
  <c r="D9" i="25"/>
  <c r="X8" i="11"/>
  <c r="E37" i="25"/>
  <c r="R15" i="33"/>
  <c r="S6" i="2"/>
  <c r="S11" i="11" s="1"/>
  <c r="D28" i="25"/>
  <c r="F6" i="2"/>
  <c r="F11" i="11" s="1"/>
  <c r="C7" i="25"/>
  <c r="G6" i="11"/>
  <c r="I6" i="32" s="1"/>
  <c r="D7" i="25"/>
  <c r="Q6" i="11"/>
  <c r="F21" i="25"/>
  <c r="I7" i="11"/>
  <c r="K7" i="32" s="1"/>
  <c r="F8" i="25"/>
  <c r="J7" i="11"/>
  <c r="C15" i="25"/>
  <c r="O6" i="2"/>
  <c r="O11" i="11" s="1"/>
  <c r="M8" i="11"/>
  <c r="F16" i="25"/>
  <c r="T6" i="2"/>
  <c r="T11" i="11" s="1"/>
  <c r="E28" i="25"/>
  <c r="I6" i="2"/>
  <c r="I11" i="11" s="1"/>
  <c r="K11" i="32" s="1"/>
  <c r="F7" i="25"/>
  <c r="Y7" i="11"/>
  <c r="F36" i="25"/>
  <c r="G36" i="25" s="1"/>
  <c r="G44" i="25" s="1"/>
  <c r="C8" i="25"/>
  <c r="K7" i="11"/>
  <c r="D15" i="25"/>
  <c r="H37" i="32"/>
  <c r="O37" i="32"/>
  <c r="O6" i="11"/>
  <c r="F6" i="11"/>
  <c r="Q8" i="2"/>
  <c r="Q13" i="11" s="1"/>
  <c r="F23" i="25"/>
  <c r="P8" i="2"/>
  <c r="P13" i="11" s="1"/>
  <c r="E23" i="25"/>
  <c r="V8" i="11"/>
  <c r="C37" i="25"/>
  <c r="C38" i="25" s="1"/>
  <c r="R8" i="11"/>
  <c r="R5" i="11" s="1"/>
  <c r="C30" i="25"/>
  <c r="J8" i="2"/>
  <c r="J13" i="11" s="1"/>
  <c r="C16" i="25"/>
  <c r="B17" i="17"/>
  <c r="N45" i="23"/>
  <c r="U6" i="2"/>
  <c r="U11" i="11" s="1"/>
  <c r="F28" i="25"/>
  <c r="M6" i="2"/>
  <c r="M11" i="11" s="1"/>
  <c r="F14" i="25"/>
  <c r="B18" i="17"/>
  <c r="N46" i="23"/>
  <c r="F7" i="2"/>
  <c r="F12" i="11" s="1"/>
  <c r="N7" i="11"/>
  <c r="X7" i="11"/>
  <c r="K8" i="2"/>
  <c r="K13" i="11" s="1"/>
  <c r="D16" i="25"/>
  <c r="P7" i="11"/>
  <c r="E22" i="25"/>
  <c r="G22" i="25" s="1"/>
  <c r="E44" i="25" s="1"/>
  <c r="S7" i="11"/>
  <c r="D29" i="25"/>
  <c r="R7" i="2"/>
  <c r="R12" i="11" s="1"/>
  <c r="C29" i="25"/>
  <c r="X14" i="33"/>
  <c r="W8" i="2"/>
  <c r="W13" i="11" s="1"/>
  <c r="D37" i="25"/>
  <c r="F8" i="2"/>
  <c r="F13" i="11" s="1"/>
  <c r="C9" i="25"/>
  <c r="H6" i="2"/>
  <c r="H11" i="11" s="1"/>
  <c r="J11" i="32" s="1"/>
  <c r="E7" i="25"/>
  <c r="E10" i="25" s="1"/>
  <c r="B19" i="17"/>
  <c r="N47" i="23"/>
  <c r="U8" i="11"/>
  <c r="U5" i="11" s="1"/>
  <c r="U12" i="12" s="1"/>
  <c r="F30" i="25"/>
  <c r="J7" i="2"/>
  <c r="J12" i="11" s="1"/>
  <c r="X6" i="11"/>
  <c r="E35" i="25"/>
  <c r="P6" i="2"/>
  <c r="P11" i="11" s="1"/>
  <c r="E21" i="25"/>
  <c r="N7" i="2"/>
  <c r="N12" i="11" s="1"/>
  <c r="I8" i="11"/>
  <c r="K8" i="32" s="1"/>
  <c r="F9" i="25"/>
  <c r="X8" i="1"/>
  <c r="X25" i="6" s="1"/>
  <c r="T6" i="11"/>
  <c r="R6" i="32" s="1"/>
  <c r="X6" i="2"/>
  <c r="X11" i="11" s="1"/>
  <c r="N8" i="2"/>
  <c r="N13" i="11" s="1"/>
  <c r="C23" i="25"/>
  <c r="C24" i="25" s="1"/>
  <c r="S8" i="11"/>
  <c r="D30" i="25"/>
  <c r="O8" i="11"/>
  <c r="D23" i="25"/>
  <c r="D24" i="25" s="1"/>
  <c r="T8" i="11"/>
  <c r="E30" i="25"/>
  <c r="Z37" i="11"/>
  <c r="D37" i="32" s="1"/>
  <c r="K6" i="2"/>
  <c r="K11" i="11" s="1"/>
  <c r="D14" i="25"/>
  <c r="R6" i="2"/>
  <c r="R11" i="11" s="1"/>
  <c r="C28" i="25"/>
  <c r="J6" i="2"/>
  <c r="J11" i="11" s="1"/>
  <c r="C14" i="25"/>
  <c r="X7" i="2"/>
  <c r="X12" i="11" s="1"/>
  <c r="W6" i="11"/>
  <c r="D35" i="25"/>
  <c r="E30" i="15"/>
  <c r="C65" i="15" s="1"/>
  <c r="L8" i="11"/>
  <c r="E16" i="25"/>
  <c r="E17" i="25" s="1"/>
  <c r="M7" i="11"/>
  <c r="F15" i="25"/>
  <c r="M48" i="23"/>
  <c r="F7" i="11"/>
  <c r="S7" i="2"/>
  <c r="S12" i="11" s="1"/>
  <c r="I99" i="3"/>
  <c r="I80" i="3" s="1"/>
  <c r="K7" i="2"/>
  <c r="K12" i="11" s="1"/>
  <c r="Y8" i="1"/>
  <c r="Y5" i="7" s="1"/>
  <c r="W6" i="2"/>
  <c r="W11" i="11" s="1"/>
  <c r="Q6" i="2"/>
  <c r="Q11" i="11" s="1"/>
  <c r="G6" i="2"/>
  <c r="G11" i="11" s="1"/>
  <c r="I11" i="32" s="1"/>
  <c r="C6" i="2"/>
  <c r="I7" i="27" s="1"/>
  <c r="M6" i="11"/>
  <c r="K8" i="11"/>
  <c r="Z5" i="1"/>
  <c r="L8" i="1"/>
  <c r="I87" i="5" s="1"/>
  <c r="T8" i="2"/>
  <c r="T13" i="11" s="1"/>
  <c r="Q8" i="11"/>
  <c r="E25" i="15"/>
  <c r="B6" i="15" s="1"/>
  <c r="I7" i="2"/>
  <c r="I12" i="11" s="1"/>
  <c r="K12" i="32" s="1"/>
  <c r="I8" i="1"/>
  <c r="I5" i="7" s="1"/>
  <c r="U5" i="33" s="1"/>
  <c r="D99" i="3"/>
  <c r="D80" i="3" s="1"/>
  <c r="I8" i="2"/>
  <c r="I13" i="11" s="1"/>
  <c r="K13" i="32" s="1"/>
  <c r="M8" i="2"/>
  <c r="M13" i="11" s="1"/>
  <c r="Y8" i="11"/>
  <c r="U8" i="2"/>
  <c r="U13" i="11" s="1"/>
  <c r="N8" i="11"/>
  <c r="Y8" i="2"/>
  <c r="Y13" i="11" s="1"/>
  <c r="G99" i="3"/>
  <c r="G80" i="3" s="1"/>
  <c r="E99" i="3"/>
  <c r="E80" i="3" s="1"/>
  <c r="U8" i="1"/>
  <c r="U25" i="6" s="1"/>
  <c r="U27" i="6" s="1"/>
  <c r="B9" i="2"/>
  <c r="T8" i="1"/>
  <c r="T25" i="6" s="1"/>
  <c r="T27" i="6" s="1"/>
  <c r="H99" i="3"/>
  <c r="H80" i="3" s="1"/>
  <c r="F99" i="3"/>
  <c r="F80" i="3" s="1"/>
  <c r="C7" i="2"/>
  <c r="I8" i="27" s="1"/>
  <c r="E31" i="15"/>
  <c r="C66" i="15" s="1"/>
  <c r="J6" i="11"/>
  <c r="K8" i="1"/>
  <c r="K5" i="7" s="1"/>
  <c r="J8" i="1"/>
  <c r="G87" i="5" s="1"/>
  <c r="I18" i="8"/>
  <c r="J10" i="8" s="1"/>
  <c r="F41" i="11"/>
  <c r="K37" i="6"/>
  <c r="L36" i="6"/>
  <c r="J14" i="7"/>
  <c r="J8" i="6"/>
  <c r="J8" i="11"/>
  <c r="O8" i="1"/>
  <c r="L87" i="5" s="1"/>
  <c r="F8" i="1"/>
  <c r="F25" i="6" s="1"/>
  <c r="O8" i="2"/>
  <c r="O13" i="11" s="1"/>
  <c r="F8" i="11"/>
  <c r="S8" i="2"/>
  <c r="S13" i="11" s="1"/>
  <c r="S8" i="1"/>
  <c r="S25" i="6" s="1"/>
  <c r="S27" i="6" s="1"/>
  <c r="V8" i="2"/>
  <c r="V13" i="11" s="1"/>
  <c r="Q8" i="1"/>
  <c r="N87" i="5" s="1"/>
  <c r="P8" i="1"/>
  <c r="P25" i="6" s="1"/>
  <c r="P27" i="6" s="1"/>
  <c r="W8" i="1"/>
  <c r="W5" i="7" s="1"/>
  <c r="P8" i="11"/>
  <c r="X8" i="2"/>
  <c r="X13" i="11" s="1"/>
  <c r="W8" i="11"/>
  <c r="N8" i="1"/>
  <c r="N5" i="7" s="1"/>
  <c r="M8" i="1"/>
  <c r="M5" i="7" s="1"/>
  <c r="G8" i="2"/>
  <c r="G13" i="11" s="1"/>
  <c r="I13" i="32" s="1"/>
  <c r="G8" i="1"/>
  <c r="G25" i="6" s="1"/>
  <c r="R8" i="1"/>
  <c r="R5" i="7" s="1"/>
  <c r="V8" i="1"/>
  <c r="V25" i="6" s="1"/>
  <c r="R8" i="2"/>
  <c r="R13" i="11" s="1"/>
  <c r="H8" i="11"/>
  <c r="J8" i="32" s="1"/>
  <c r="H8" i="1"/>
  <c r="H8" i="2"/>
  <c r="H13" i="11" s="1"/>
  <c r="J13" i="32" s="1"/>
  <c r="C8" i="2"/>
  <c r="I9" i="27" s="1"/>
  <c r="E32" i="15"/>
  <c r="G20" i="8" l="1"/>
  <c r="G15" i="7" s="1"/>
  <c r="S15" i="33" s="1"/>
  <c r="B14" i="2"/>
  <c r="G15" i="11"/>
  <c r="I15" i="32" s="1"/>
  <c r="D17" i="28"/>
  <c r="D38" i="16"/>
  <c r="F38" i="16" s="1"/>
  <c r="E38" i="16" s="1"/>
  <c r="B114" i="3"/>
  <c r="B131" i="3" s="1"/>
  <c r="D55" i="2"/>
  <c r="G24" i="2" s="1"/>
  <c r="R7" i="32"/>
  <c r="I9" i="8"/>
  <c r="I17" i="8" s="1"/>
  <c r="J9" i="8" s="1"/>
  <c r="J17" i="8" s="1"/>
  <c r="K9" i="8" s="1"/>
  <c r="K17" i="8" s="1"/>
  <c r="L9" i="8" s="1"/>
  <c r="L17" i="8" s="1"/>
  <c r="M9" i="8" s="1"/>
  <c r="M17" i="8" s="1"/>
  <c r="N9" i="8" s="1"/>
  <c r="N17" i="8" s="1"/>
  <c r="O9" i="8" s="1"/>
  <c r="O17" i="8" s="1"/>
  <c r="P9" i="8" s="1"/>
  <c r="P17" i="8" s="1"/>
  <c r="Q9" i="8" s="1"/>
  <c r="Q17" i="8" s="1"/>
  <c r="R9" i="8" s="1"/>
  <c r="R17" i="8" s="1"/>
  <c r="S9" i="8" s="1"/>
  <c r="S17" i="8" s="1"/>
  <c r="T9" i="8" s="1"/>
  <c r="T17" i="8" s="1"/>
  <c r="U9" i="8" s="1"/>
  <c r="U17" i="8" s="1"/>
  <c r="V9" i="8" s="1"/>
  <c r="V17" i="8" s="1"/>
  <c r="W9" i="8" s="1"/>
  <c r="W17" i="8" s="1"/>
  <c r="X9" i="8" s="1"/>
  <c r="X17" i="8" s="1"/>
  <c r="Y9" i="8" s="1"/>
  <c r="Y17" i="8" s="1"/>
  <c r="Z9" i="8" s="1"/>
  <c r="G13" i="7"/>
  <c r="S13" i="33" s="1"/>
  <c r="G6" i="6"/>
  <c r="H8" i="8"/>
  <c r="H12" i="8" s="1"/>
  <c r="H32" i="6" s="1"/>
  <c r="H33" i="6" s="1"/>
  <c r="H15" i="8"/>
  <c r="I19" i="8"/>
  <c r="H5" i="11"/>
  <c r="J5" i="32" s="1"/>
  <c r="Q12" i="32"/>
  <c r="S7" i="32"/>
  <c r="D18" i="28"/>
  <c r="D56" i="2"/>
  <c r="I121" i="3"/>
  <c r="M5" i="11"/>
  <c r="M12" i="12" s="1"/>
  <c r="W10" i="11"/>
  <c r="W13" i="12" s="1"/>
  <c r="L5" i="11"/>
  <c r="L12" i="12" s="1"/>
  <c r="S12" i="32"/>
  <c r="E6" i="15"/>
  <c r="W5" i="11"/>
  <c r="W12" i="12" s="1"/>
  <c r="G21" i="25"/>
  <c r="E43" i="25" s="1"/>
  <c r="H121" i="3"/>
  <c r="D121" i="3"/>
  <c r="V14" i="2"/>
  <c r="V15" i="11" s="1"/>
  <c r="R14" i="2"/>
  <c r="R15" i="11" s="1"/>
  <c r="F121" i="3"/>
  <c r="G24" i="28"/>
  <c r="X14" i="2"/>
  <c r="X15" i="11" s="1"/>
  <c r="U14" i="2"/>
  <c r="U15" i="11" s="1"/>
  <c r="W14" i="2"/>
  <c r="W15" i="11" s="1"/>
  <c r="Q14" i="2"/>
  <c r="Q15" i="11" s="1"/>
  <c r="K14" i="2"/>
  <c r="K15" i="11" s="1"/>
  <c r="O14" i="2"/>
  <c r="O15" i="11" s="1"/>
  <c r="N14" i="2"/>
  <c r="N15" i="11" s="1"/>
  <c r="I14" i="2"/>
  <c r="I15" i="11" s="1"/>
  <c r="K15" i="32" s="1"/>
  <c r="H14" i="2"/>
  <c r="H15" i="11" s="1"/>
  <c r="J15" i="32" s="1"/>
  <c r="T14" i="2"/>
  <c r="T15" i="11" s="1"/>
  <c r="Y14" i="2"/>
  <c r="Y15" i="11" s="1"/>
  <c r="D39" i="16"/>
  <c r="F39" i="16" s="1"/>
  <c r="E39" i="16" s="1"/>
  <c r="S14" i="2"/>
  <c r="S15" i="11" s="1"/>
  <c r="P14" i="2"/>
  <c r="P15" i="11" s="1"/>
  <c r="L14" i="2"/>
  <c r="L15" i="11" s="1"/>
  <c r="J14" i="2"/>
  <c r="J15" i="11" s="1"/>
  <c r="M14" i="2"/>
  <c r="M15" i="11" s="1"/>
  <c r="G121" i="3"/>
  <c r="B115" i="3"/>
  <c r="B132" i="3" s="1"/>
  <c r="F132" i="3" s="1"/>
  <c r="S6" i="32"/>
  <c r="G5" i="11"/>
  <c r="G12" i="12" s="1"/>
  <c r="D17" i="25"/>
  <c r="D10" i="25"/>
  <c r="S5" i="11"/>
  <c r="S12" i="12" s="1"/>
  <c r="F38" i="25"/>
  <c r="L9" i="2"/>
  <c r="E12" i="29" s="1"/>
  <c r="N5" i="11"/>
  <c r="N12" i="12" s="1"/>
  <c r="Y25" i="6"/>
  <c r="Y27" i="6" s="1"/>
  <c r="U5" i="7"/>
  <c r="T5" i="11"/>
  <c r="T12" i="12" s="1"/>
  <c r="Q5" i="11"/>
  <c r="Q12" i="12" s="1"/>
  <c r="R11" i="32"/>
  <c r="Q6" i="32"/>
  <c r="P6" i="32"/>
  <c r="O5" i="11"/>
  <c r="O12" i="12" s="1"/>
  <c r="P9" i="2"/>
  <c r="E18" i="29" s="1"/>
  <c r="Q13" i="32"/>
  <c r="P10" i="11"/>
  <c r="P13" i="12" s="1"/>
  <c r="X5" i="7"/>
  <c r="F9" i="2"/>
  <c r="C6" i="29" s="1"/>
  <c r="X5" i="11"/>
  <c r="X12" i="12" s="1"/>
  <c r="B16" i="17"/>
  <c r="C17" i="39" s="1"/>
  <c r="G29" i="25"/>
  <c r="F44" i="25" s="1"/>
  <c r="D31" i="25"/>
  <c r="L10" i="11"/>
  <c r="L13" i="12" s="1"/>
  <c r="J9" i="2"/>
  <c r="C12" i="29" s="1"/>
  <c r="Y5" i="11"/>
  <c r="Y12" i="12" s="1"/>
  <c r="K5" i="11"/>
  <c r="K12" i="12" s="1"/>
  <c r="G8" i="25"/>
  <c r="C44" i="25" s="1"/>
  <c r="Z41" i="11"/>
  <c r="D41" i="32" s="1"/>
  <c r="H41" i="32"/>
  <c r="O41" i="32"/>
  <c r="S11" i="32"/>
  <c r="F31" i="25"/>
  <c r="Q8" i="32"/>
  <c r="H7" i="32"/>
  <c r="O7" i="32"/>
  <c r="E38" i="25"/>
  <c r="R12" i="32"/>
  <c r="G35" i="25"/>
  <c r="G43" i="25" s="1"/>
  <c r="C19" i="39"/>
  <c r="D15" i="18"/>
  <c r="C19" i="20"/>
  <c r="S8" i="32"/>
  <c r="N9" i="2"/>
  <c r="C18" i="29" s="1"/>
  <c r="I5" i="11"/>
  <c r="R12" i="12"/>
  <c r="F5" i="11"/>
  <c r="H8" i="32"/>
  <c r="O8" i="32"/>
  <c r="Z7" i="11"/>
  <c r="D7" i="32" s="1"/>
  <c r="D38" i="25"/>
  <c r="G14" i="25"/>
  <c r="D43" i="25" s="1"/>
  <c r="C17" i="25"/>
  <c r="G16" i="25"/>
  <c r="D45" i="25" s="1"/>
  <c r="Q7" i="32"/>
  <c r="F17" i="25"/>
  <c r="N48" i="23"/>
  <c r="H6" i="32"/>
  <c r="O6" i="32"/>
  <c r="E31" i="25"/>
  <c r="G15" i="25"/>
  <c r="D44" i="25" s="1"/>
  <c r="F24" i="25"/>
  <c r="G7" i="25"/>
  <c r="C43" i="25" s="1"/>
  <c r="C10" i="25"/>
  <c r="G9" i="25"/>
  <c r="C45" i="25" s="1"/>
  <c r="G28" i="25"/>
  <c r="F43" i="25" s="1"/>
  <c r="C31" i="25"/>
  <c r="G37" i="25"/>
  <c r="G45" i="25" s="1"/>
  <c r="F10" i="25"/>
  <c r="J10" i="11"/>
  <c r="P11" i="32"/>
  <c r="R13" i="32"/>
  <c r="G30" i="25"/>
  <c r="F45" i="25" s="1"/>
  <c r="P13" i="32"/>
  <c r="Z6" i="11"/>
  <c r="D6" i="32" s="1"/>
  <c r="H11" i="32"/>
  <c r="O11" i="32"/>
  <c r="N10" i="11"/>
  <c r="Q11" i="32"/>
  <c r="V5" i="11"/>
  <c r="P5" i="11"/>
  <c r="P12" i="12" s="1"/>
  <c r="V10" i="11"/>
  <c r="S13" i="32"/>
  <c r="P8" i="32"/>
  <c r="Q10" i="11"/>
  <c r="Q13" i="12" s="1"/>
  <c r="G23" i="25"/>
  <c r="E45" i="25" s="1"/>
  <c r="E24" i="25"/>
  <c r="P12" i="32"/>
  <c r="C20" i="39"/>
  <c r="C20" i="20"/>
  <c r="D16" i="18"/>
  <c r="H13" i="32"/>
  <c r="O13" i="32"/>
  <c r="H12" i="32"/>
  <c r="O12" i="32"/>
  <c r="C18" i="39"/>
  <c r="C18" i="20"/>
  <c r="D14" i="18"/>
  <c r="R8" i="32"/>
  <c r="P7" i="32"/>
  <c r="C9" i="2"/>
  <c r="H10" i="27"/>
  <c r="K10" i="11"/>
  <c r="K13" i="12" s="1"/>
  <c r="Q9" i="2"/>
  <c r="Q6" i="7" s="1"/>
  <c r="W9" i="2"/>
  <c r="Z12" i="11"/>
  <c r="D12" i="32" s="1"/>
  <c r="Z6" i="2"/>
  <c r="I9" i="2"/>
  <c r="I10" i="11"/>
  <c r="T5" i="7"/>
  <c r="Z7" i="2"/>
  <c r="K9" i="2"/>
  <c r="G6" i="15"/>
  <c r="I6" i="15"/>
  <c r="L25" i="6"/>
  <c r="L27" i="6" s="1"/>
  <c r="D6" i="15"/>
  <c r="O6" i="15"/>
  <c r="Y6" i="15" s="1"/>
  <c r="L5" i="7"/>
  <c r="Z8" i="1"/>
  <c r="Z25" i="6" s="1"/>
  <c r="Z27" i="6" s="1"/>
  <c r="F87" i="5"/>
  <c r="F23" i="15"/>
  <c r="B58" i="15" s="1"/>
  <c r="F22" i="15"/>
  <c r="B57" i="15" s="1"/>
  <c r="C6" i="15"/>
  <c r="Y9" i="2"/>
  <c r="T9" i="2"/>
  <c r="M9" i="2"/>
  <c r="J6" i="15"/>
  <c r="T10" i="11"/>
  <c r="T13" i="12" s="1"/>
  <c r="K6" i="15"/>
  <c r="F6" i="15"/>
  <c r="H6" i="15"/>
  <c r="I25" i="6"/>
  <c r="I27" i="6" s="1"/>
  <c r="F24" i="15"/>
  <c r="B59" i="15" s="1"/>
  <c r="L6" i="15"/>
  <c r="F5" i="7"/>
  <c r="U9" i="2"/>
  <c r="Y10" i="11"/>
  <c r="Y13" i="12" s="1"/>
  <c r="M10" i="11"/>
  <c r="M13" i="12" s="1"/>
  <c r="O10" i="11"/>
  <c r="O13" i="12" s="1"/>
  <c r="S9" i="2"/>
  <c r="O25" i="6"/>
  <c r="O27" i="6" s="1"/>
  <c r="H87" i="5"/>
  <c r="U10" i="11"/>
  <c r="U13" i="12" s="1"/>
  <c r="V9" i="1"/>
  <c r="X9" i="2"/>
  <c r="P5" i="7"/>
  <c r="K25" i="6"/>
  <c r="K27" i="6" s="1"/>
  <c r="S10" i="11"/>
  <c r="S13" i="12" s="1"/>
  <c r="Q5" i="7"/>
  <c r="W25" i="6"/>
  <c r="W27" i="6" s="1"/>
  <c r="J25" i="6"/>
  <c r="J27" i="6" s="1"/>
  <c r="N25" i="6"/>
  <c r="N27" i="6" s="1"/>
  <c r="J5" i="7"/>
  <c r="K87" i="5"/>
  <c r="C87" i="5"/>
  <c r="X10" i="11"/>
  <c r="X13" i="12" s="1"/>
  <c r="R9" i="1"/>
  <c r="Q25" i="6"/>
  <c r="Q27" i="6" s="1"/>
  <c r="J80" i="3"/>
  <c r="O5" i="7"/>
  <c r="V5" i="7"/>
  <c r="J5" i="11"/>
  <c r="J18" i="8"/>
  <c r="K10" i="8" s="1"/>
  <c r="M36" i="6"/>
  <c r="L37" i="6"/>
  <c r="K8" i="6"/>
  <c r="K14" i="7"/>
  <c r="J9" i="1"/>
  <c r="O9" i="2"/>
  <c r="J87" i="5"/>
  <c r="N9" i="1"/>
  <c r="G5" i="7"/>
  <c r="S5" i="33" s="1"/>
  <c r="S5" i="7"/>
  <c r="V9" i="2"/>
  <c r="R25" i="6"/>
  <c r="R27" i="6" s="1"/>
  <c r="M25" i="6"/>
  <c r="M27" i="6" s="1"/>
  <c r="F9" i="1"/>
  <c r="M87" i="5"/>
  <c r="Z8" i="11"/>
  <c r="D8" i="32" s="1"/>
  <c r="D87" i="5"/>
  <c r="G10" i="11"/>
  <c r="R10" i="11"/>
  <c r="Z13" i="11"/>
  <c r="D13" i="32" s="1"/>
  <c r="H25" i="6"/>
  <c r="H27" i="6" s="1"/>
  <c r="G9" i="2"/>
  <c r="R9" i="2"/>
  <c r="E87" i="5"/>
  <c r="H5" i="7"/>
  <c r="T5" i="33" s="1"/>
  <c r="H9" i="2"/>
  <c r="Z8" i="2"/>
  <c r="H10" i="11"/>
  <c r="C67" i="15"/>
  <c r="E33" i="15"/>
  <c r="B7" i="15" s="1"/>
  <c r="G27" i="6"/>
  <c r="Z11" i="11"/>
  <c r="D11" i="32" s="1"/>
  <c r="F10" i="11"/>
  <c r="F27" i="6"/>
  <c r="F43" i="6"/>
  <c r="V27" i="6"/>
  <c r="X27" i="6"/>
  <c r="C14" i="2" l="1"/>
  <c r="H24" i="28" s="1"/>
  <c r="F14" i="2"/>
  <c r="F15" i="11" s="1"/>
  <c r="H15" i="32" s="1"/>
  <c r="E35" i="15"/>
  <c r="H12" i="12"/>
  <c r="G25" i="11"/>
  <c r="I25" i="32" s="1"/>
  <c r="B24" i="2"/>
  <c r="F24" i="2" s="1"/>
  <c r="U24" i="2"/>
  <c r="U25" i="11" s="1"/>
  <c r="X24" i="2"/>
  <c r="X25" i="11" s="1"/>
  <c r="T24" i="2"/>
  <c r="T25" i="11" s="1"/>
  <c r="H24" i="2"/>
  <c r="H25" i="11" s="1"/>
  <c r="J25" i="32" s="1"/>
  <c r="O24" i="2"/>
  <c r="O25" i="11" s="1"/>
  <c r="V24" i="2"/>
  <c r="V25" i="11" s="1"/>
  <c r="J24" i="2"/>
  <c r="J25" i="11" s="1"/>
  <c r="Y24" i="2"/>
  <c r="Y25" i="11" s="1"/>
  <c r="P24" i="2"/>
  <c r="P25" i="11" s="1"/>
  <c r="Q24" i="2"/>
  <c r="Q25" i="11" s="1"/>
  <c r="S24" i="2"/>
  <c r="S25" i="11" s="1"/>
  <c r="K24" i="2"/>
  <c r="K25" i="11" s="1"/>
  <c r="N24" i="2"/>
  <c r="N25" i="11" s="1"/>
  <c r="W24" i="2"/>
  <c r="W25" i="11" s="1"/>
  <c r="R24" i="2"/>
  <c r="R25" i="11" s="1"/>
  <c r="I24" i="2"/>
  <c r="I25" i="11" s="1"/>
  <c r="K25" i="32" s="1"/>
  <c r="L24" i="2"/>
  <c r="L25" i="11" s="1"/>
  <c r="M24" i="2"/>
  <c r="M25" i="11" s="1"/>
  <c r="G131" i="3"/>
  <c r="E131" i="3"/>
  <c r="I131" i="3"/>
  <c r="D131" i="3"/>
  <c r="H131" i="3"/>
  <c r="F131" i="3"/>
  <c r="F133" i="3" s="1"/>
  <c r="F81" i="3" s="1"/>
  <c r="F82" i="3" s="1"/>
  <c r="Z17" i="8"/>
  <c r="AB17" i="8" s="1"/>
  <c r="H16" i="8"/>
  <c r="I8" i="8" s="1"/>
  <c r="I16" i="8" s="1"/>
  <c r="J8" i="8" s="1"/>
  <c r="I7" i="8"/>
  <c r="H6" i="6"/>
  <c r="H13" i="7"/>
  <c r="T13" i="33" s="1"/>
  <c r="J11" i="8"/>
  <c r="B25" i="2"/>
  <c r="G25" i="2"/>
  <c r="I5" i="32"/>
  <c r="R15" i="32"/>
  <c r="M25" i="2"/>
  <c r="M26" i="11" s="1"/>
  <c r="L5" i="2"/>
  <c r="J6" i="7"/>
  <c r="J7" i="7" s="1"/>
  <c r="F5" i="2"/>
  <c r="C17" i="20"/>
  <c r="P5" i="2"/>
  <c r="U25" i="2"/>
  <c r="U26" i="11" s="1"/>
  <c r="Q15" i="32"/>
  <c r="R25" i="2"/>
  <c r="R26" i="11" s="1"/>
  <c r="S15" i="32"/>
  <c r="N25" i="2"/>
  <c r="N26" i="11" s="1"/>
  <c r="L25" i="2"/>
  <c r="L26" i="11" s="1"/>
  <c r="Y25" i="2"/>
  <c r="Y26" i="11" s="1"/>
  <c r="I25" i="2"/>
  <c r="I26" i="11" s="1"/>
  <c r="K26" i="32" s="1"/>
  <c r="Z14" i="2"/>
  <c r="W25" i="2"/>
  <c r="W26" i="11" s="1"/>
  <c r="T25" i="2"/>
  <c r="T26" i="11" s="1"/>
  <c r="O15" i="32"/>
  <c r="P15" i="32"/>
  <c r="G132" i="3"/>
  <c r="K25" i="2"/>
  <c r="K26" i="11" s="1"/>
  <c r="X25" i="2"/>
  <c r="X26" i="11" s="1"/>
  <c r="O25" i="2"/>
  <c r="B133" i="3"/>
  <c r="I132" i="3"/>
  <c r="S25" i="2"/>
  <c r="S26" i="11" s="1"/>
  <c r="V25" i="2"/>
  <c r="V26" i="11" s="1"/>
  <c r="J25" i="2"/>
  <c r="J26" i="11" s="1"/>
  <c r="P25" i="2"/>
  <c r="P26" i="11" s="1"/>
  <c r="Q25" i="2"/>
  <c r="Q26" i="11" s="1"/>
  <c r="H25" i="2"/>
  <c r="H26" i="11" s="1"/>
  <c r="Z15" i="11"/>
  <c r="D15" i="32" s="1"/>
  <c r="F40" i="16"/>
  <c r="E40" i="16" s="1"/>
  <c r="E49" i="16" s="1"/>
  <c r="D132" i="3"/>
  <c r="E132" i="3"/>
  <c r="H132" i="3"/>
  <c r="L6" i="7"/>
  <c r="L7" i="7" s="1"/>
  <c r="F6" i="7"/>
  <c r="F7" i="7" s="1"/>
  <c r="P6" i="7"/>
  <c r="P7" i="7" s="1"/>
  <c r="G24" i="25"/>
  <c r="E46" i="25" s="1"/>
  <c r="J5" i="2"/>
  <c r="AA5" i="33"/>
  <c r="D13" i="18"/>
  <c r="R5" i="32"/>
  <c r="N5" i="2"/>
  <c r="Z5" i="33"/>
  <c r="Z5" i="11"/>
  <c r="D5" i="32" s="1"/>
  <c r="N6" i="7"/>
  <c r="N7" i="7" s="1"/>
  <c r="G31" i="25"/>
  <c r="F46" i="25" s="1"/>
  <c r="G17" i="25"/>
  <c r="D46" i="25" s="1"/>
  <c r="G38" i="25"/>
  <c r="G46" i="25" s="1"/>
  <c r="Q5" i="32"/>
  <c r="G5" i="2"/>
  <c r="D6" i="29"/>
  <c r="Q5" i="2"/>
  <c r="F18" i="29"/>
  <c r="Y5" i="33"/>
  <c r="T5" i="2"/>
  <c r="E24" i="29"/>
  <c r="I13" i="12"/>
  <c r="K10" i="32"/>
  <c r="N13" i="12"/>
  <c r="Q10" i="32"/>
  <c r="H13" i="12"/>
  <c r="J10" i="32"/>
  <c r="S5" i="2"/>
  <c r="D24" i="29"/>
  <c r="U6" i="7"/>
  <c r="U7" i="7" s="1"/>
  <c r="F24" i="29"/>
  <c r="Y5" i="2"/>
  <c r="F30" i="29"/>
  <c r="K5" i="2"/>
  <c r="D12" i="29"/>
  <c r="I6" i="7"/>
  <c r="F6" i="29"/>
  <c r="G10" i="25"/>
  <c r="C46" i="25" s="1"/>
  <c r="H10" i="32"/>
  <c r="O10" i="32"/>
  <c r="H5" i="2"/>
  <c r="E6" i="29"/>
  <c r="G13" i="12"/>
  <c r="I10" i="32"/>
  <c r="O5" i="2"/>
  <c r="D18" i="29"/>
  <c r="J12" i="12"/>
  <c r="P5" i="32"/>
  <c r="M6" i="7"/>
  <c r="M7" i="7" s="1"/>
  <c r="F12" i="29"/>
  <c r="V13" i="12"/>
  <c r="S10" i="32"/>
  <c r="J13" i="12"/>
  <c r="P10" i="32"/>
  <c r="F12" i="12"/>
  <c r="H5" i="32"/>
  <c r="O5" i="32"/>
  <c r="AB5" i="7"/>
  <c r="AE5" i="7" s="1"/>
  <c r="AB5" i="33"/>
  <c r="X5" i="2"/>
  <c r="E30" i="29"/>
  <c r="R6" i="7"/>
  <c r="C24" i="29"/>
  <c r="R13" i="12"/>
  <c r="R10" i="32"/>
  <c r="V6" i="7"/>
  <c r="V7" i="7" s="1"/>
  <c r="C30" i="29"/>
  <c r="X5" i="33"/>
  <c r="R5" i="33"/>
  <c r="W6" i="7"/>
  <c r="W7" i="7" s="1"/>
  <c r="D30" i="29"/>
  <c r="V12" i="12"/>
  <c r="S5" i="32"/>
  <c r="I12" i="12"/>
  <c r="K5" i="32"/>
  <c r="B21" i="17"/>
  <c r="I10" i="27"/>
  <c r="C5" i="2"/>
  <c r="W5" i="2"/>
  <c r="J10" i="2"/>
  <c r="I5" i="2"/>
  <c r="M5" i="2"/>
  <c r="Z9" i="2"/>
  <c r="K6" i="7"/>
  <c r="K7" i="7" s="1"/>
  <c r="W6" i="15"/>
  <c r="S6" i="7"/>
  <c r="S7" i="7" s="1"/>
  <c r="U6" i="15"/>
  <c r="T6" i="7"/>
  <c r="T7" i="7" s="1"/>
  <c r="P6" i="15"/>
  <c r="R6" i="15"/>
  <c r="Q6" i="15"/>
  <c r="U5" i="2"/>
  <c r="Y6" i="7"/>
  <c r="Y7" i="7" s="1"/>
  <c r="X6" i="15"/>
  <c r="V6" i="15"/>
  <c r="S6" i="15"/>
  <c r="T6" i="15"/>
  <c r="X6" i="7"/>
  <c r="X7" i="7" s="1"/>
  <c r="Q7" i="7"/>
  <c r="N10" i="2"/>
  <c r="Z5" i="7"/>
  <c r="N5" i="33" s="1"/>
  <c r="V5" i="2"/>
  <c r="Z9" i="1"/>
  <c r="AA9" i="1" s="1"/>
  <c r="K18" i="8"/>
  <c r="L10" i="8" s="1"/>
  <c r="L18" i="8" s="1"/>
  <c r="M10" i="8" s="1"/>
  <c r="M18" i="8" s="1"/>
  <c r="N10" i="8" s="1"/>
  <c r="N18" i="8" s="1"/>
  <c r="O10" i="8" s="1"/>
  <c r="O18" i="8" s="1"/>
  <c r="P10" i="8" s="1"/>
  <c r="P18" i="8" s="1"/>
  <c r="Q10" i="8" s="1"/>
  <c r="Q18" i="8" s="1"/>
  <c r="R10" i="8" s="1"/>
  <c r="R18" i="8" s="1"/>
  <c r="S10" i="8" s="1"/>
  <c r="S18" i="8" s="1"/>
  <c r="T10" i="8" s="1"/>
  <c r="T18" i="8" s="1"/>
  <c r="U10" i="8" s="1"/>
  <c r="U18" i="8" s="1"/>
  <c r="V10" i="8" s="1"/>
  <c r="V18" i="8" s="1"/>
  <c r="W10" i="8" s="1"/>
  <c r="W18" i="8" s="1"/>
  <c r="X10" i="8" s="1"/>
  <c r="X18" i="8" s="1"/>
  <c r="Y10" i="8" s="1"/>
  <c r="N36" i="6"/>
  <c r="M37" i="6"/>
  <c r="L14" i="7"/>
  <c r="L8" i="6"/>
  <c r="O6" i="7"/>
  <c r="O7" i="7" s="1"/>
  <c r="R10" i="2"/>
  <c r="V10" i="2"/>
  <c r="G6" i="7"/>
  <c r="H6" i="7"/>
  <c r="T6" i="33" s="1"/>
  <c r="R5" i="2"/>
  <c r="O7" i="15"/>
  <c r="F10" i="2"/>
  <c r="G7" i="15"/>
  <c r="K7" i="15"/>
  <c r="D7" i="15"/>
  <c r="H7" i="15"/>
  <c r="L7" i="15"/>
  <c r="E7" i="15"/>
  <c r="I7" i="15"/>
  <c r="C7" i="15"/>
  <c r="F7" i="15"/>
  <c r="J7" i="15"/>
  <c r="Z10" i="11"/>
  <c r="F13" i="12"/>
  <c r="U14" i="11" l="1"/>
  <c r="U14" i="12" s="1"/>
  <c r="H133" i="3"/>
  <c r="H81" i="3" s="1"/>
  <c r="H82" i="3" s="1"/>
  <c r="X14" i="11"/>
  <c r="X14" i="12" s="1"/>
  <c r="Q14" i="11"/>
  <c r="Q14" i="12" s="1"/>
  <c r="Y14" i="11"/>
  <c r="Y14" i="12" s="1"/>
  <c r="B26" i="2"/>
  <c r="C26" i="2" s="1"/>
  <c r="C29" i="2" s="1"/>
  <c r="V14" i="11"/>
  <c r="R14" i="11"/>
  <c r="R14" i="12" s="1"/>
  <c r="W14" i="11"/>
  <c r="W14" i="12" s="1"/>
  <c r="D133" i="3"/>
  <c r="D81" i="3" s="1"/>
  <c r="D82" i="3" s="1"/>
  <c r="G35" i="28"/>
  <c r="F25" i="2"/>
  <c r="Z25" i="2" s="1"/>
  <c r="P14" i="11"/>
  <c r="P14" i="12" s="1"/>
  <c r="Q25" i="32"/>
  <c r="G133" i="3"/>
  <c r="G81" i="3" s="1"/>
  <c r="G82" i="3" s="1"/>
  <c r="H14" i="11"/>
  <c r="J14" i="32" s="1"/>
  <c r="K14" i="11"/>
  <c r="K14" i="12" s="1"/>
  <c r="E133" i="3"/>
  <c r="E81" i="3" s="1"/>
  <c r="E82" i="3" s="1"/>
  <c r="S14" i="11"/>
  <c r="S14" i="12" s="1"/>
  <c r="T14" i="11"/>
  <c r="T14" i="12" s="1"/>
  <c r="R25" i="32"/>
  <c r="L14" i="11"/>
  <c r="L14" i="12" s="1"/>
  <c r="M14" i="11"/>
  <c r="M14" i="12" s="1"/>
  <c r="C25" i="2"/>
  <c r="H35" i="28" s="1"/>
  <c r="E46" i="15"/>
  <c r="G34" i="28"/>
  <c r="E45" i="15"/>
  <c r="C24" i="2"/>
  <c r="H34" i="28" s="1"/>
  <c r="I133" i="3"/>
  <c r="I81" i="3" s="1"/>
  <c r="I82" i="3" s="1"/>
  <c r="N14" i="11"/>
  <c r="N14" i="12" s="1"/>
  <c r="P25" i="32"/>
  <c r="S25" i="32"/>
  <c r="F25" i="11"/>
  <c r="Z24" i="2"/>
  <c r="H20" i="8"/>
  <c r="H15" i="7" s="1"/>
  <c r="T15" i="33" s="1"/>
  <c r="J16" i="8"/>
  <c r="K8" i="8" s="1"/>
  <c r="K16" i="8" s="1"/>
  <c r="L8" i="8" s="1"/>
  <c r="I15" i="8"/>
  <c r="I12" i="8"/>
  <c r="I32" i="6" s="1"/>
  <c r="I33" i="6" s="1"/>
  <c r="J19" i="8"/>
  <c r="G26" i="11"/>
  <c r="G26" i="2"/>
  <c r="M26" i="2"/>
  <c r="M8" i="7" s="1"/>
  <c r="M9" i="7" s="1"/>
  <c r="R6" i="33"/>
  <c r="G18" i="29"/>
  <c r="L6" i="29" s="1"/>
  <c r="N26" i="2"/>
  <c r="N8" i="7" s="1"/>
  <c r="I14" i="11"/>
  <c r="K14" i="32" s="1"/>
  <c r="Y26" i="2"/>
  <c r="Y13" i="2" s="1"/>
  <c r="X26" i="2"/>
  <c r="X8" i="7" s="1"/>
  <c r="X9" i="7" s="1"/>
  <c r="U26" i="2"/>
  <c r="U13" i="2" s="1"/>
  <c r="W26" i="2"/>
  <c r="D31" i="29" s="1"/>
  <c r="D32" i="29" s="1"/>
  <c r="R26" i="2"/>
  <c r="R8" i="7" s="1"/>
  <c r="L26" i="2"/>
  <c r="L29" i="2" s="1"/>
  <c r="P26" i="32"/>
  <c r="I26" i="2"/>
  <c r="I13" i="2" s="1"/>
  <c r="T26" i="2"/>
  <c r="E25" i="29" s="1"/>
  <c r="E26" i="29" s="1"/>
  <c r="R26" i="32"/>
  <c r="J26" i="2"/>
  <c r="J8" i="7" s="1"/>
  <c r="J9" i="7" s="1"/>
  <c r="V26" i="2"/>
  <c r="C31" i="29" s="1"/>
  <c r="C32" i="29" s="1"/>
  <c r="J14" i="11"/>
  <c r="J14" i="12" s="1"/>
  <c r="K26" i="2"/>
  <c r="K13" i="2" s="1"/>
  <c r="O26" i="11"/>
  <c r="O14" i="11" s="1"/>
  <c r="O14" i="12" s="1"/>
  <c r="O26" i="2"/>
  <c r="P26" i="2"/>
  <c r="P29" i="2" s="1"/>
  <c r="B29" i="2"/>
  <c r="F49" i="16"/>
  <c r="S26" i="32"/>
  <c r="S26" i="2"/>
  <c r="D25" i="29" s="1"/>
  <c r="D26" i="29" s="1"/>
  <c r="Q26" i="2"/>
  <c r="Q8" i="7" s="1"/>
  <c r="Q9" i="7" s="1"/>
  <c r="H26" i="2"/>
  <c r="H8" i="7" s="1"/>
  <c r="T8" i="33" s="1"/>
  <c r="J26" i="32"/>
  <c r="Z6" i="33"/>
  <c r="Z12" i="12"/>
  <c r="G30" i="29"/>
  <c r="N6" i="29" s="1"/>
  <c r="AB6" i="33"/>
  <c r="R7" i="7"/>
  <c r="AA7" i="33" s="1"/>
  <c r="AA6" i="33"/>
  <c r="Z7" i="33"/>
  <c r="R7" i="33"/>
  <c r="Y6" i="33"/>
  <c r="Z13" i="12"/>
  <c r="D10" i="32"/>
  <c r="G7" i="7"/>
  <c r="S6" i="33"/>
  <c r="G12" i="29"/>
  <c r="K6" i="29" s="1"/>
  <c r="AB7" i="33"/>
  <c r="G24" i="29"/>
  <c r="M6" i="29" s="1"/>
  <c r="V14" i="12"/>
  <c r="X6" i="33"/>
  <c r="Y7" i="33"/>
  <c r="I7" i="7"/>
  <c r="U7" i="33" s="1"/>
  <c r="U6" i="33"/>
  <c r="C22" i="20"/>
  <c r="C22" i="39"/>
  <c r="G6" i="29"/>
  <c r="J6" i="29" s="1"/>
  <c r="AB7" i="7"/>
  <c r="B24" i="17" s="1"/>
  <c r="AB6" i="7"/>
  <c r="S7" i="15"/>
  <c r="W7" i="15"/>
  <c r="T7" i="15"/>
  <c r="Q7" i="15"/>
  <c r="U7" i="15"/>
  <c r="Y7" i="15"/>
  <c r="R7" i="15"/>
  <c r="V7" i="15"/>
  <c r="P7" i="15"/>
  <c r="X7" i="15"/>
  <c r="Z6" i="7"/>
  <c r="N6" i="33" s="1"/>
  <c r="Z10" i="2"/>
  <c r="Y18" i="8"/>
  <c r="Z18" i="8" s="1"/>
  <c r="M8" i="6"/>
  <c r="M14" i="7"/>
  <c r="Y14" i="33" s="1"/>
  <c r="O36" i="6"/>
  <c r="N37" i="6"/>
  <c r="H7" i="7"/>
  <c r="H14" i="12" l="1"/>
  <c r="C13" i="2"/>
  <c r="G36" i="28"/>
  <c r="H36" i="28"/>
  <c r="S14" i="32"/>
  <c r="B22" i="17"/>
  <c r="C23" i="20" s="1"/>
  <c r="R14" i="32"/>
  <c r="J81" i="3"/>
  <c r="J82" i="3" s="1"/>
  <c r="B32" i="3" s="1"/>
  <c r="B164" i="3" s="1"/>
  <c r="D164" i="3" s="1"/>
  <c r="H25" i="32"/>
  <c r="O25" i="32"/>
  <c r="Z25" i="11"/>
  <c r="D25" i="32" s="1"/>
  <c r="E47" i="15"/>
  <c r="B8" i="15" s="1"/>
  <c r="Z26" i="2"/>
  <c r="Z29" i="2" s="1"/>
  <c r="Z26" i="6" s="1"/>
  <c r="Z28" i="6" s="1"/>
  <c r="Z29" i="6" s="1"/>
  <c r="Z7" i="6" s="1"/>
  <c r="I13" i="7"/>
  <c r="I6" i="6"/>
  <c r="J7" i="8"/>
  <c r="I20" i="8"/>
  <c r="I15" i="7" s="1"/>
  <c r="K11" i="8"/>
  <c r="G8" i="7"/>
  <c r="S8" i="33" s="1"/>
  <c r="D7" i="29"/>
  <c r="D8" i="29" s="1"/>
  <c r="G13" i="2"/>
  <c r="G29" i="2"/>
  <c r="I26" i="32"/>
  <c r="G14" i="11"/>
  <c r="F26" i="11"/>
  <c r="Z26" i="11" s="1"/>
  <c r="D26" i="32" s="1"/>
  <c r="F26" i="2"/>
  <c r="I14" i="12"/>
  <c r="Q26" i="32"/>
  <c r="F13" i="29"/>
  <c r="F14" i="29" s="1"/>
  <c r="N29" i="2"/>
  <c r="K88" i="5" s="1"/>
  <c r="V29" i="2"/>
  <c r="V26" i="6" s="1"/>
  <c r="V28" i="6" s="1"/>
  <c r="V29" i="6" s="1"/>
  <c r="V7" i="6" s="1"/>
  <c r="U29" i="2"/>
  <c r="U26" i="6" s="1"/>
  <c r="U28" i="6" s="1"/>
  <c r="U29" i="6" s="1"/>
  <c r="U12" i="7" s="1"/>
  <c r="M29" i="2"/>
  <c r="J88" i="5" s="1"/>
  <c r="M13" i="2"/>
  <c r="U8" i="7"/>
  <c r="U9" i="7" s="1"/>
  <c r="X13" i="2"/>
  <c r="E31" i="29"/>
  <c r="E32" i="29" s="1"/>
  <c r="N13" i="2"/>
  <c r="C19" i="29"/>
  <c r="C20" i="29" s="1"/>
  <c r="E13" i="29"/>
  <c r="E14" i="29" s="1"/>
  <c r="D13" i="29"/>
  <c r="D14" i="29" s="1"/>
  <c r="Y29" i="2"/>
  <c r="Y26" i="6" s="1"/>
  <c r="Y28" i="6" s="1"/>
  <c r="Y29" i="6" s="1"/>
  <c r="Y12" i="7" s="1"/>
  <c r="L8" i="7"/>
  <c r="L9" i="7" s="1"/>
  <c r="X29" i="2"/>
  <c r="X26" i="6" s="1"/>
  <c r="X28" i="6" s="1"/>
  <c r="X29" i="6" s="1"/>
  <c r="X7" i="6" s="1"/>
  <c r="F25" i="29"/>
  <c r="F26" i="29" s="1"/>
  <c r="Y8" i="7"/>
  <c r="Y9" i="7" s="1"/>
  <c r="W29" i="2"/>
  <c r="W26" i="6" s="1"/>
  <c r="W28" i="6" s="1"/>
  <c r="W29" i="6" s="1"/>
  <c r="W7" i="6" s="1"/>
  <c r="F31" i="29"/>
  <c r="F32" i="29" s="1"/>
  <c r="W8" i="7"/>
  <c r="W9" i="7" s="1"/>
  <c r="L13" i="2"/>
  <c r="C25" i="29"/>
  <c r="C26" i="29" s="1"/>
  <c r="T8" i="7"/>
  <c r="T9" i="7" s="1"/>
  <c r="S8" i="7"/>
  <c r="S9" i="7" s="1"/>
  <c r="R13" i="2"/>
  <c r="R29" i="2"/>
  <c r="R26" i="6" s="1"/>
  <c r="R28" i="6" s="1"/>
  <c r="R29" i="6" s="1"/>
  <c r="R7" i="6" s="1"/>
  <c r="F7" i="29"/>
  <c r="F8" i="29" s="1"/>
  <c r="V13" i="2"/>
  <c r="T29" i="2"/>
  <c r="T26" i="6" s="1"/>
  <c r="T28" i="6" s="1"/>
  <c r="T29" i="6" s="1"/>
  <c r="T12" i="7" s="1"/>
  <c r="W13" i="2"/>
  <c r="I29" i="2"/>
  <c r="I26" i="6" s="1"/>
  <c r="I28" i="6" s="1"/>
  <c r="I29" i="6" s="1"/>
  <c r="I12" i="7" s="1"/>
  <c r="P14" i="32"/>
  <c r="I8" i="7"/>
  <c r="I9" i="7" s="1"/>
  <c r="U9" i="33" s="1"/>
  <c r="J29" i="2"/>
  <c r="G88" i="5" s="1"/>
  <c r="R27" i="2"/>
  <c r="C13" i="29"/>
  <c r="J13" i="2"/>
  <c r="T13" i="2"/>
  <c r="Q14" i="32"/>
  <c r="V8" i="7"/>
  <c r="V9" i="7" s="1"/>
  <c r="J27" i="2"/>
  <c r="H13" i="2"/>
  <c r="E19" i="29"/>
  <c r="E20" i="29" s="1"/>
  <c r="V27" i="2"/>
  <c r="Q29" i="2"/>
  <c r="Q26" i="6" s="1"/>
  <c r="Q28" i="6" s="1"/>
  <c r="Q29" i="6" s="1"/>
  <c r="Q7" i="6" s="1"/>
  <c r="P13" i="2"/>
  <c r="P8" i="7"/>
  <c r="P9" i="7" s="1"/>
  <c r="O8" i="7"/>
  <c r="O9" i="7" s="1"/>
  <c r="O13" i="2"/>
  <c r="D19" i="29"/>
  <c r="D20" i="29" s="1"/>
  <c r="O29" i="2"/>
  <c r="Q13" i="2"/>
  <c r="F19" i="29"/>
  <c r="F20" i="29" s="1"/>
  <c r="K8" i="7"/>
  <c r="K9" i="7" s="1"/>
  <c r="N27" i="2"/>
  <c r="K29" i="2"/>
  <c r="H88" i="5" s="1"/>
  <c r="E7" i="29"/>
  <c r="E8" i="29" s="1"/>
  <c r="H29" i="2"/>
  <c r="E88" i="5" s="1"/>
  <c r="S29" i="2"/>
  <c r="S26" i="6" s="1"/>
  <c r="S28" i="6" s="1"/>
  <c r="S29" i="6" s="1"/>
  <c r="S7" i="6" s="1"/>
  <c r="S13" i="2"/>
  <c r="R9" i="7"/>
  <c r="S7" i="33"/>
  <c r="Z7" i="7"/>
  <c r="N7" i="33" s="1"/>
  <c r="T7" i="33"/>
  <c r="O6" i="29"/>
  <c r="B30" i="17"/>
  <c r="C25" i="39"/>
  <c r="C25" i="20"/>
  <c r="C23" i="39"/>
  <c r="N9" i="7"/>
  <c r="X7" i="33"/>
  <c r="H9" i="7"/>
  <c r="Z10" i="8"/>
  <c r="N14" i="7"/>
  <c r="N8" i="6"/>
  <c r="O37" i="6"/>
  <c r="P36" i="6"/>
  <c r="L16" i="8"/>
  <c r="P26" i="6"/>
  <c r="P28" i="6" s="1"/>
  <c r="P29" i="6" s="1"/>
  <c r="P12" i="7" s="1"/>
  <c r="M88" i="5"/>
  <c r="L26" i="6"/>
  <c r="L28" i="6" s="1"/>
  <c r="L29" i="6" s="1"/>
  <c r="I88" i="5"/>
  <c r="A5" i="1"/>
  <c r="A4" i="1"/>
  <c r="B29" i="23"/>
  <c r="K47" i="23" s="1"/>
  <c r="B28" i="23"/>
  <c r="K46" i="23" s="1"/>
  <c r="A21" i="1"/>
  <c r="B27" i="23" s="1"/>
  <c r="K45" i="23" s="1"/>
  <c r="A20" i="1"/>
  <c r="B26" i="23" s="1"/>
  <c r="F164" i="3" l="1"/>
  <c r="E13" i="3" s="1"/>
  <c r="F14" i="21" s="1"/>
  <c r="Q14" i="21" s="1"/>
  <c r="I164" i="3"/>
  <c r="H13" i="3" s="1"/>
  <c r="I14" i="21" s="1"/>
  <c r="T14" i="21" s="1"/>
  <c r="G164" i="3"/>
  <c r="F13" i="3" s="1"/>
  <c r="G14" i="21" s="1"/>
  <c r="R14" i="21" s="1"/>
  <c r="B46" i="5"/>
  <c r="B47" i="5" s="1"/>
  <c r="B56" i="5" s="1"/>
  <c r="B16" i="5" s="1"/>
  <c r="C21" i="22" s="1"/>
  <c r="E164" i="3"/>
  <c r="D13" i="3" s="1"/>
  <c r="E14" i="21" s="1"/>
  <c r="P14" i="21" s="1"/>
  <c r="B13" i="3"/>
  <c r="C14" i="21" s="1"/>
  <c r="C29" i="21" s="1"/>
  <c r="H164" i="3"/>
  <c r="G13" i="3" s="1"/>
  <c r="H14" i="21" s="1"/>
  <c r="S14" i="21" s="1"/>
  <c r="O8" i="15"/>
  <c r="C8" i="15"/>
  <c r="G9" i="7"/>
  <c r="S9" i="33" s="1"/>
  <c r="U15" i="33"/>
  <c r="X15" i="33"/>
  <c r="J15" i="8"/>
  <c r="J12" i="8"/>
  <c r="J32" i="6" s="1"/>
  <c r="J33" i="6" s="1"/>
  <c r="U13" i="33"/>
  <c r="X13" i="33"/>
  <c r="K19" i="8"/>
  <c r="H26" i="6"/>
  <c r="H28" i="6" s="1"/>
  <c r="H29" i="6" s="1"/>
  <c r="H7" i="6" s="1"/>
  <c r="C7" i="29"/>
  <c r="C8" i="29" s="1"/>
  <c r="G8" i="29" s="1"/>
  <c r="J8" i="29" s="1"/>
  <c r="F8" i="7"/>
  <c r="X8" i="33" s="1"/>
  <c r="F13" i="2"/>
  <c r="F29" i="2"/>
  <c r="F30" i="2" s="1"/>
  <c r="H26" i="32"/>
  <c r="F14" i="11"/>
  <c r="O26" i="32"/>
  <c r="F27" i="2"/>
  <c r="Z27" i="2" s="1"/>
  <c r="G14" i="12"/>
  <c r="I14" i="32"/>
  <c r="D88" i="5"/>
  <c r="G26" i="6"/>
  <c r="G28" i="6" s="1"/>
  <c r="G29" i="6" s="1"/>
  <c r="G32" i="29"/>
  <c r="N8" i="29" s="1"/>
  <c r="V12" i="7"/>
  <c r="N26" i="6"/>
  <c r="N28" i="6" s="1"/>
  <c r="N29" i="6" s="1"/>
  <c r="N12" i="7" s="1"/>
  <c r="M26" i="6"/>
  <c r="M28" i="6" s="1"/>
  <c r="M29" i="6" s="1"/>
  <c r="M7" i="6" s="1"/>
  <c r="U7" i="6"/>
  <c r="V30" i="2"/>
  <c r="Y7" i="6"/>
  <c r="AC7" i="6" s="1"/>
  <c r="Y9" i="33"/>
  <c r="G13" i="29"/>
  <c r="K7" i="29" s="1"/>
  <c r="G26" i="29"/>
  <c r="M8" i="29" s="1"/>
  <c r="X12" i="7"/>
  <c r="I7" i="6"/>
  <c r="G31" i="29"/>
  <c r="N7" i="29" s="1"/>
  <c r="W12" i="7"/>
  <c r="C14" i="29"/>
  <c r="G14" i="29" s="1"/>
  <c r="K8" i="29" s="1"/>
  <c r="G25" i="29"/>
  <c r="M7" i="29" s="1"/>
  <c r="T7" i="6"/>
  <c r="K26" i="6"/>
  <c r="K28" i="6" s="1"/>
  <c r="K29" i="6" s="1"/>
  <c r="K7" i="6" s="1"/>
  <c r="AB9" i="7"/>
  <c r="AE6" i="7" s="1"/>
  <c r="J30" i="2"/>
  <c r="F88" i="5"/>
  <c r="Q12" i="7"/>
  <c r="J26" i="6"/>
  <c r="J28" i="6" s="1"/>
  <c r="J29" i="6" s="1"/>
  <c r="J7" i="6" s="1"/>
  <c r="N88" i="5"/>
  <c r="AA8" i="33"/>
  <c r="U8" i="33"/>
  <c r="R12" i="7"/>
  <c r="D4" i="36"/>
  <c r="S12" i="7"/>
  <c r="R30" i="2"/>
  <c r="AB8" i="7"/>
  <c r="Y8" i="33"/>
  <c r="AB8" i="33"/>
  <c r="L88" i="5"/>
  <c r="O26" i="6"/>
  <c r="O28" i="6" s="1"/>
  <c r="O29" i="6" s="1"/>
  <c r="G20" i="29"/>
  <c r="L8" i="29" s="1"/>
  <c r="N30" i="2"/>
  <c r="Z8" i="33"/>
  <c r="G19" i="29"/>
  <c r="L7" i="29" s="1"/>
  <c r="T9" i="33"/>
  <c r="Z9" i="33"/>
  <c r="E4" i="36"/>
  <c r="C31" i="39"/>
  <c r="N10" i="36"/>
  <c r="C31" i="20"/>
  <c r="F4" i="36"/>
  <c r="AA9" i="33"/>
  <c r="I11" i="7"/>
  <c r="U11" i="33" s="1"/>
  <c r="U12" i="33"/>
  <c r="G4" i="36"/>
  <c r="AB9" i="33"/>
  <c r="M8" i="8"/>
  <c r="O8" i="6"/>
  <c r="O14" i="7"/>
  <c r="Q36" i="6"/>
  <c r="P37" i="6"/>
  <c r="P7" i="6"/>
  <c r="L12" i="7"/>
  <c r="L7" i="6"/>
  <c r="C13" i="3"/>
  <c r="D14" i="21" s="1"/>
  <c r="O14" i="21" s="1"/>
  <c r="Z8" i="7" l="1"/>
  <c r="N8" i="33" s="1"/>
  <c r="J164" i="3"/>
  <c r="I13" i="3" s="1"/>
  <c r="J14" i="21" s="1"/>
  <c r="B5" i="5"/>
  <c r="C8" i="22" s="1"/>
  <c r="B10" i="5"/>
  <c r="B5" i="12" s="1"/>
  <c r="B7" i="17" s="1"/>
  <c r="B58" i="5"/>
  <c r="D8" i="15"/>
  <c r="P8" i="15"/>
  <c r="H12" i="7"/>
  <c r="T12" i="33" s="1"/>
  <c r="J13" i="7"/>
  <c r="J6" i="6"/>
  <c r="K7" i="8"/>
  <c r="J20" i="8"/>
  <c r="J15" i="7" s="1"/>
  <c r="L11" i="8"/>
  <c r="G7" i="29"/>
  <c r="J7" i="29" s="1"/>
  <c r="O7" i="29" s="1"/>
  <c r="H14" i="32"/>
  <c r="F14" i="12"/>
  <c r="O14" i="32"/>
  <c r="Z14" i="11"/>
  <c r="G7" i="6"/>
  <c r="G12" i="7"/>
  <c r="F26" i="6"/>
  <c r="F28" i="6" s="1"/>
  <c r="F29" i="6" s="1"/>
  <c r="C88" i="5"/>
  <c r="R8" i="33"/>
  <c r="F9" i="7"/>
  <c r="AB12" i="7"/>
  <c r="N7" i="6"/>
  <c r="AB12" i="33"/>
  <c r="M12" i="7"/>
  <c r="AA12" i="33"/>
  <c r="O8" i="29"/>
  <c r="K12" i="7"/>
  <c r="J12" i="7"/>
  <c r="O7" i="6"/>
  <c r="O12" i="7"/>
  <c r="Z12" i="33" s="1"/>
  <c r="M16" i="8"/>
  <c r="N8" i="8" s="1"/>
  <c r="B12" i="15"/>
  <c r="O12" i="15" s="1"/>
  <c r="J8" i="31"/>
  <c r="R36" i="6"/>
  <c r="Q37" i="6"/>
  <c r="P14" i="7"/>
  <c r="P8" i="6"/>
  <c r="G42" i="11"/>
  <c r="F42" i="11"/>
  <c r="F23" i="5"/>
  <c r="B17" i="5" l="1"/>
  <c r="C22" i="22" s="1"/>
  <c r="B70" i="5"/>
  <c r="C14" i="22"/>
  <c r="B18" i="5"/>
  <c r="C23" i="22" s="1"/>
  <c r="B12" i="5"/>
  <c r="C16" i="22" s="1"/>
  <c r="J13" i="22"/>
  <c r="H11" i="7"/>
  <c r="T11" i="33" s="1"/>
  <c r="Q8" i="15"/>
  <c r="E8" i="15"/>
  <c r="J11" i="7"/>
  <c r="K15" i="8"/>
  <c r="K12" i="8"/>
  <c r="K32" i="6" s="1"/>
  <c r="K33" i="6" s="1"/>
  <c r="L19" i="8"/>
  <c r="G11" i="7"/>
  <c r="S11" i="33" s="1"/>
  <c r="S12" i="33"/>
  <c r="Z14" i="12"/>
  <c r="D14" i="32"/>
  <c r="F12" i="7"/>
  <c r="Z12" i="7" s="1"/>
  <c r="N12" i="33" s="1"/>
  <c r="F7" i="6"/>
  <c r="R9" i="33"/>
  <c r="X9" i="33"/>
  <c r="C4" i="36"/>
  <c r="H4" i="36" s="1"/>
  <c r="Z9" i="7"/>
  <c r="N9" i="33" s="1"/>
  <c r="N16" i="8"/>
  <c r="Y12" i="33"/>
  <c r="I12" i="15"/>
  <c r="V12" i="15" s="1"/>
  <c r="H12" i="15"/>
  <c r="U12" i="15" s="1"/>
  <c r="L12" i="15"/>
  <c r="Y12" i="15" s="1"/>
  <c r="F12" i="15"/>
  <c r="S12" i="15" s="1"/>
  <c r="K12" i="15"/>
  <c r="X12" i="15" s="1"/>
  <c r="C12" i="15"/>
  <c r="P12" i="15" s="1"/>
  <c r="G12" i="15"/>
  <c r="T12" i="15" s="1"/>
  <c r="F33" i="11"/>
  <c r="H42" i="32"/>
  <c r="O42" i="32"/>
  <c r="G33" i="11"/>
  <c r="G43" i="11" s="1"/>
  <c r="I42" i="32"/>
  <c r="C8" i="20"/>
  <c r="J12" i="15"/>
  <c r="W12" i="15" s="1"/>
  <c r="D12" i="15"/>
  <c r="Q12" i="15" s="1"/>
  <c r="E12" i="15"/>
  <c r="R12" i="15" s="1"/>
  <c r="Q8" i="6"/>
  <c r="Q14" i="7"/>
  <c r="Z14" i="33" s="1"/>
  <c r="S36" i="6"/>
  <c r="R37" i="6"/>
  <c r="Z42" i="11"/>
  <c r="D42" i="32" s="1"/>
  <c r="C79" i="5" l="1"/>
  <c r="C81" i="5" s="1"/>
  <c r="C91" i="5" s="1"/>
  <c r="B9" i="17"/>
  <c r="C10" i="20" s="1"/>
  <c r="F25" i="5"/>
  <c r="F46" i="11" s="1"/>
  <c r="H46" i="32" s="1"/>
  <c r="B73" i="5"/>
  <c r="J16" i="22" s="1"/>
  <c r="F8" i="15"/>
  <c r="R8" i="15"/>
  <c r="K6" i="6"/>
  <c r="K13" i="7"/>
  <c r="K11" i="7" s="1"/>
  <c r="L7" i="8"/>
  <c r="K20" i="8"/>
  <c r="K15" i="7" s="1"/>
  <c r="M11" i="8"/>
  <c r="F11" i="7"/>
  <c r="R12" i="33"/>
  <c r="X12" i="33"/>
  <c r="O8" i="8"/>
  <c r="I43" i="32"/>
  <c r="I33" i="32"/>
  <c r="Z33" i="11"/>
  <c r="D33" i="32" s="1"/>
  <c r="O33" i="32"/>
  <c r="H33" i="32"/>
  <c r="S37" i="6"/>
  <c r="T36" i="6"/>
  <c r="R14" i="7"/>
  <c r="R8" i="6"/>
  <c r="F28" i="5" l="1"/>
  <c r="F27" i="11" s="1"/>
  <c r="F10" i="7"/>
  <c r="F16" i="7" s="1"/>
  <c r="O46" i="32"/>
  <c r="Z46" i="11"/>
  <c r="D46" i="32" s="1"/>
  <c r="Q80" i="5"/>
  <c r="T27" i="5" s="1"/>
  <c r="T19" i="12" s="1"/>
  <c r="S80" i="5"/>
  <c r="V27" i="5" s="1"/>
  <c r="V19" i="12" s="1"/>
  <c r="E80" i="5"/>
  <c r="M80" i="5"/>
  <c r="R80" i="5"/>
  <c r="U27" i="5" s="1"/>
  <c r="U47" i="11" s="1"/>
  <c r="U48" i="11" s="1"/>
  <c r="H80" i="5"/>
  <c r="F80" i="5"/>
  <c r="U80" i="5"/>
  <c r="X27" i="5" s="1"/>
  <c r="X47" i="11" s="1"/>
  <c r="X48" i="11" s="1"/>
  <c r="K80" i="5"/>
  <c r="D80" i="5"/>
  <c r="G80" i="5"/>
  <c r="P80" i="5"/>
  <c r="S27" i="5" s="1"/>
  <c r="S47" i="11" s="1"/>
  <c r="S48" i="11" s="1"/>
  <c r="N80" i="5"/>
  <c r="J80" i="5"/>
  <c r="T80" i="5"/>
  <c r="W27" i="5" s="1"/>
  <c r="W47" i="11" s="1"/>
  <c r="W48" i="11" s="1"/>
  <c r="C80" i="5"/>
  <c r="V80" i="5"/>
  <c r="Y27" i="5" s="1"/>
  <c r="Y47" i="11" s="1"/>
  <c r="Y48" i="11" s="1"/>
  <c r="O80" i="5"/>
  <c r="R27" i="5" s="1"/>
  <c r="R47" i="11" s="1"/>
  <c r="I80" i="5"/>
  <c r="L80" i="5"/>
  <c r="G8" i="15"/>
  <c r="S8" i="15"/>
  <c r="L15" i="8"/>
  <c r="L12" i="8"/>
  <c r="L32" i="6" s="1"/>
  <c r="L33" i="6" s="1"/>
  <c r="M19" i="8"/>
  <c r="R11" i="33"/>
  <c r="X11" i="33"/>
  <c r="O16" i="8"/>
  <c r="R10" i="33"/>
  <c r="U36" i="6"/>
  <c r="T37" i="6"/>
  <c r="S14" i="7"/>
  <c r="S8" i="6"/>
  <c r="F20" i="12" l="1"/>
  <c r="G27" i="5"/>
  <c r="G47" i="11" s="1"/>
  <c r="G48" i="11" s="1"/>
  <c r="I48" i="32" s="1"/>
  <c r="D92" i="5"/>
  <c r="L27" i="5"/>
  <c r="L19" i="12" s="1"/>
  <c r="I92" i="5"/>
  <c r="H27" i="5"/>
  <c r="H19" i="12" s="1"/>
  <c r="E92" i="5"/>
  <c r="N27" i="5"/>
  <c r="N19" i="12" s="1"/>
  <c r="K92" i="5"/>
  <c r="I27" i="5"/>
  <c r="I47" i="11" s="1"/>
  <c r="I48" i="11" s="1"/>
  <c r="K48" i="32" s="1"/>
  <c r="F92" i="5"/>
  <c r="D79" i="5"/>
  <c r="E79" i="5" s="1"/>
  <c r="F79" i="5" s="1"/>
  <c r="G79" i="5" s="1"/>
  <c r="C92" i="5"/>
  <c r="M27" i="5"/>
  <c r="M19" i="12" s="1"/>
  <c r="J92" i="5"/>
  <c r="K27" i="5"/>
  <c r="K47" i="11" s="1"/>
  <c r="K48" i="11" s="1"/>
  <c r="H92" i="5"/>
  <c r="Q27" i="5"/>
  <c r="Q47" i="11" s="1"/>
  <c r="Q48" i="11" s="1"/>
  <c r="N92" i="5"/>
  <c r="J27" i="5"/>
  <c r="J47" i="11" s="1"/>
  <c r="J48" i="11" s="1"/>
  <c r="G92" i="5"/>
  <c r="O27" i="5"/>
  <c r="O19" i="12" s="1"/>
  <c r="L92" i="5"/>
  <c r="P27" i="5"/>
  <c r="P19" i="12" s="1"/>
  <c r="M92" i="5"/>
  <c r="V47" i="11"/>
  <c r="S47" i="32" s="1"/>
  <c r="R19" i="12"/>
  <c r="T47" i="11"/>
  <c r="T48" i="11" s="1"/>
  <c r="Y19" i="12"/>
  <c r="X19" i="12"/>
  <c r="S19" i="12"/>
  <c r="W19" i="12"/>
  <c r="F27" i="5"/>
  <c r="F19" i="12" s="1"/>
  <c r="F21" i="12" s="1"/>
  <c r="U19" i="12"/>
  <c r="C82" i="5"/>
  <c r="T8" i="15"/>
  <c r="H8" i="15"/>
  <c r="L13" i="7"/>
  <c r="L11" i="7" s="1"/>
  <c r="L6" i="6"/>
  <c r="M7" i="8"/>
  <c r="L20" i="8"/>
  <c r="L15" i="7" s="1"/>
  <c r="N11" i="8"/>
  <c r="P8" i="8"/>
  <c r="P16" i="8" s="1"/>
  <c r="R48" i="11"/>
  <c r="R16" i="33"/>
  <c r="H27" i="32"/>
  <c r="T14" i="7"/>
  <c r="T8" i="6"/>
  <c r="V36" i="6"/>
  <c r="U37" i="6"/>
  <c r="W80" i="5"/>
  <c r="F40" i="6"/>
  <c r="F17" i="7"/>
  <c r="I47" i="32" l="1"/>
  <c r="N47" i="11"/>
  <c r="N48" i="11" s="1"/>
  <c r="H47" i="11"/>
  <c r="J47" i="32" s="1"/>
  <c r="G19" i="12"/>
  <c r="D81" i="5"/>
  <c r="G10" i="7" s="1"/>
  <c r="G16" i="7" s="1"/>
  <c r="S16" i="33" s="1"/>
  <c r="L47" i="11"/>
  <c r="L48" i="11" s="1"/>
  <c r="V48" i="11"/>
  <c r="S48" i="32" s="1"/>
  <c r="K47" i="32"/>
  <c r="I19" i="12"/>
  <c r="P47" i="11"/>
  <c r="P48" i="11" s="1"/>
  <c r="Q19" i="12"/>
  <c r="O47" i="11"/>
  <c r="O48" i="11" s="1"/>
  <c r="J19" i="12"/>
  <c r="R47" i="32"/>
  <c r="R48" i="32"/>
  <c r="K19" i="12"/>
  <c r="M47" i="11"/>
  <c r="M48" i="11" s="1"/>
  <c r="E81" i="5"/>
  <c r="E91" i="5" s="1"/>
  <c r="F81" i="5"/>
  <c r="I28" i="5" s="1"/>
  <c r="I20" i="12" s="1"/>
  <c r="F47" i="11"/>
  <c r="H47" i="32" s="1"/>
  <c r="F29" i="5"/>
  <c r="U8" i="15"/>
  <c r="I8" i="15"/>
  <c r="M15" i="8"/>
  <c r="M12" i="8"/>
  <c r="M32" i="6" s="1"/>
  <c r="M33" i="6" s="1"/>
  <c r="N19" i="8"/>
  <c r="Q8" i="8"/>
  <c r="F18" i="7"/>
  <c r="R17" i="33"/>
  <c r="U14" i="7"/>
  <c r="AA14" i="33" s="1"/>
  <c r="U8" i="6"/>
  <c r="W36" i="6"/>
  <c r="V37" i="6"/>
  <c r="G81" i="5"/>
  <c r="H79" i="5"/>
  <c r="F41" i="6"/>
  <c r="H48" i="11" l="1"/>
  <c r="J48" i="32" s="1"/>
  <c r="G40" i="6"/>
  <c r="D91" i="5"/>
  <c r="S10" i="33"/>
  <c r="G17" i="7"/>
  <c r="S17" i="33" s="1"/>
  <c r="D82" i="5"/>
  <c r="G28" i="5"/>
  <c r="G20" i="12" s="1"/>
  <c r="G21" i="12" s="1"/>
  <c r="P48" i="32"/>
  <c r="P47" i="32"/>
  <c r="Q48" i="32"/>
  <c r="Q47" i="32"/>
  <c r="I21" i="12"/>
  <c r="F91" i="5"/>
  <c r="H28" i="5"/>
  <c r="H20" i="12" s="1"/>
  <c r="H21" i="12" s="1"/>
  <c r="H10" i="7"/>
  <c r="T10" i="33" s="1"/>
  <c r="E82" i="5"/>
  <c r="F82" i="5"/>
  <c r="O47" i="32"/>
  <c r="I10" i="7"/>
  <c r="I16" i="7" s="1"/>
  <c r="I40" i="6" s="1"/>
  <c r="F48" i="11"/>
  <c r="Z47" i="11"/>
  <c r="D47" i="32" s="1"/>
  <c r="J8" i="15"/>
  <c r="V8" i="15"/>
  <c r="M6" i="6"/>
  <c r="M13" i="7"/>
  <c r="N7" i="8"/>
  <c r="M20" i="8"/>
  <c r="M15" i="7" s="1"/>
  <c r="Y15" i="33" s="1"/>
  <c r="O11" i="8"/>
  <c r="Q16" i="8"/>
  <c r="R18" i="33"/>
  <c r="V8" i="6"/>
  <c r="V14" i="7"/>
  <c r="W37" i="6"/>
  <c r="X36" i="6"/>
  <c r="F5" i="6"/>
  <c r="F9" i="6" s="1"/>
  <c r="J28" i="5"/>
  <c r="J20" i="12" s="1"/>
  <c r="J21" i="12" s="1"/>
  <c r="J10" i="7"/>
  <c r="G91" i="5"/>
  <c r="G82" i="5"/>
  <c r="H81" i="5"/>
  <c r="I79" i="5"/>
  <c r="I29" i="5"/>
  <c r="I27" i="11"/>
  <c r="F44" i="6" l="1"/>
  <c r="C89" i="5"/>
  <c r="C90" i="5" s="1"/>
  <c r="C93" i="5" s="1"/>
  <c r="Z48" i="11"/>
  <c r="D48" i="32" s="1"/>
  <c r="G18" i="7"/>
  <c r="S18" i="33" s="1"/>
  <c r="G41" i="6"/>
  <c r="G5" i="6" s="1"/>
  <c r="G9" i="6" s="1"/>
  <c r="D89" i="5" s="1"/>
  <c r="D90" i="5" s="1"/>
  <c r="D93" i="5" s="1"/>
  <c r="G29" i="5"/>
  <c r="G27" i="11"/>
  <c r="I27" i="32" s="1"/>
  <c r="H29" i="5"/>
  <c r="H27" i="11"/>
  <c r="J27" i="32" s="1"/>
  <c r="H16" i="7"/>
  <c r="T16" i="33" s="1"/>
  <c r="C83" i="5"/>
  <c r="O48" i="32"/>
  <c r="U10" i="33"/>
  <c r="X10" i="33"/>
  <c r="H48" i="32"/>
  <c r="W8" i="15"/>
  <c r="K8" i="15"/>
  <c r="N15" i="8"/>
  <c r="N12" i="8"/>
  <c r="N32" i="6" s="1"/>
  <c r="N33" i="6" s="1"/>
  <c r="Y13" i="33"/>
  <c r="M11" i="7"/>
  <c r="Y11" i="33" s="1"/>
  <c r="O19" i="8"/>
  <c r="R8" i="8"/>
  <c r="K27" i="32"/>
  <c r="J16" i="7"/>
  <c r="J17" i="7" s="1"/>
  <c r="U16" i="33"/>
  <c r="I17" i="7"/>
  <c r="X37" i="6"/>
  <c r="Y36" i="6"/>
  <c r="Y37" i="6" s="1"/>
  <c r="W14" i="7"/>
  <c r="W8" i="6"/>
  <c r="K10" i="7"/>
  <c r="H91" i="5"/>
  <c r="K28" i="5"/>
  <c r="K20" i="12" s="1"/>
  <c r="K21" i="12" s="1"/>
  <c r="H82" i="5"/>
  <c r="F28" i="11"/>
  <c r="J79" i="5"/>
  <c r="I81" i="5"/>
  <c r="J29" i="5"/>
  <c r="J27" i="11"/>
  <c r="G28" i="11" l="1"/>
  <c r="G44" i="6"/>
  <c r="F30" i="5"/>
  <c r="O27" i="32"/>
  <c r="H40" i="6"/>
  <c r="X16" i="33"/>
  <c r="H17" i="7"/>
  <c r="H18" i="7" s="1"/>
  <c r="T18" i="33" s="1"/>
  <c r="L8" i="15"/>
  <c r="Y8" i="15" s="1"/>
  <c r="X8" i="15"/>
  <c r="N13" i="7"/>
  <c r="N11" i="7" s="1"/>
  <c r="N6" i="6"/>
  <c r="O7" i="8"/>
  <c r="N20" i="8"/>
  <c r="N15" i="7" s="1"/>
  <c r="P11" i="8"/>
  <c r="R16" i="8"/>
  <c r="I28" i="32"/>
  <c r="G9" i="11"/>
  <c r="G15" i="12"/>
  <c r="G16" i="12" s="1"/>
  <c r="J40" i="6"/>
  <c r="F15" i="12"/>
  <c r="F16" i="12" s="1"/>
  <c r="F7" i="13" s="1"/>
  <c r="H28" i="32"/>
  <c r="J41" i="6"/>
  <c r="J5" i="6" s="1"/>
  <c r="J9" i="6" s="1"/>
  <c r="J44" i="6" s="1"/>
  <c r="I41" i="6"/>
  <c r="I5" i="6" s="1"/>
  <c r="I9" i="6" s="1"/>
  <c r="U17" i="33"/>
  <c r="I18" i="7"/>
  <c r="Y8" i="6"/>
  <c r="Y14" i="7"/>
  <c r="Z37" i="6"/>
  <c r="Z8" i="6" s="1"/>
  <c r="X8" i="6"/>
  <c r="X14" i="7"/>
  <c r="C94" i="5"/>
  <c r="J18" i="7"/>
  <c r="I91" i="5"/>
  <c r="L28" i="5"/>
  <c r="L20" i="12" s="1"/>
  <c r="L21" i="12" s="1"/>
  <c r="L10" i="7"/>
  <c r="L16" i="7" s="1"/>
  <c r="I82" i="5"/>
  <c r="K79" i="5"/>
  <c r="J81" i="5"/>
  <c r="F9" i="11"/>
  <c r="K29" i="5"/>
  <c r="K27" i="11"/>
  <c r="K16" i="7"/>
  <c r="X18" i="33" l="1"/>
  <c r="H41" i="6"/>
  <c r="H5" i="6" s="1"/>
  <c r="H9" i="6" s="1"/>
  <c r="H28" i="11" s="1"/>
  <c r="X17" i="33"/>
  <c r="T17" i="33"/>
  <c r="D94" i="5"/>
  <c r="O15" i="8"/>
  <c r="O12" i="8"/>
  <c r="O32" i="6" s="1"/>
  <c r="O33" i="6" s="1"/>
  <c r="P19" i="8"/>
  <c r="S8" i="8"/>
  <c r="AC8" i="6"/>
  <c r="J9" i="31" s="1"/>
  <c r="AB14" i="33"/>
  <c r="G23" i="12"/>
  <c r="G25" i="12" s="1"/>
  <c r="G30" i="12" s="1"/>
  <c r="G31" i="12" s="1"/>
  <c r="G40" i="12" s="1"/>
  <c r="G7" i="13"/>
  <c r="G29" i="11"/>
  <c r="I9" i="32"/>
  <c r="F23" i="12"/>
  <c r="F25" i="12" s="1"/>
  <c r="F30" i="12" s="1"/>
  <c r="F29" i="11"/>
  <c r="H9" i="32"/>
  <c r="G89" i="5"/>
  <c r="G90" i="5" s="1"/>
  <c r="G93" i="5" s="1"/>
  <c r="J28" i="11"/>
  <c r="J9" i="11" s="1"/>
  <c r="F19" i="7"/>
  <c r="U18" i="33"/>
  <c r="F89" i="5"/>
  <c r="I28" i="11"/>
  <c r="I44" i="6"/>
  <c r="Z14" i="7"/>
  <c r="N14" i="33" s="1"/>
  <c r="B13" i="15"/>
  <c r="C13" i="15" s="1"/>
  <c r="AB14" i="7"/>
  <c r="K17" i="7"/>
  <c r="K40" i="6"/>
  <c r="L29" i="5"/>
  <c r="L27" i="11"/>
  <c r="J91" i="5"/>
  <c r="M28" i="5"/>
  <c r="M20" i="12" s="1"/>
  <c r="M21" i="12" s="1"/>
  <c r="M10" i="7"/>
  <c r="Y10" i="33" s="1"/>
  <c r="J82" i="5"/>
  <c r="G83" i="5" s="1"/>
  <c r="L40" i="6"/>
  <c r="L17" i="7"/>
  <c r="L41" i="6" s="1"/>
  <c r="L5" i="6" s="1"/>
  <c r="L9" i="6" s="1"/>
  <c r="L79" i="5"/>
  <c r="K81" i="5"/>
  <c r="F10" i="6" l="1"/>
  <c r="E89" i="5"/>
  <c r="E90" i="5" s="1"/>
  <c r="H44" i="6"/>
  <c r="F90" i="5"/>
  <c r="F93" i="5" s="1"/>
  <c r="O6" i="6"/>
  <c r="O13" i="7"/>
  <c r="O11" i="7" s="1"/>
  <c r="P7" i="8"/>
  <c r="O20" i="8"/>
  <c r="O15" i="7" s="1"/>
  <c r="Q11" i="8"/>
  <c r="S16" i="8"/>
  <c r="T8" i="8" s="1"/>
  <c r="G50" i="11"/>
  <c r="I50" i="32" s="1"/>
  <c r="I29" i="32"/>
  <c r="J15" i="12"/>
  <c r="J16" i="12" s="1"/>
  <c r="J23" i="12" s="1"/>
  <c r="J25" i="12" s="1"/>
  <c r="H29" i="32"/>
  <c r="H15" i="12"/>
  <c r="H16" i="12" s="1"/>
  <c r="H23" i="12" s="1"/>
  <c r="H25" i="12" s="1"/>
  <c r="J28" i="32"/>
  <c r="O28" i="32"/>
  <c r="K18" i="7"/>
  <c r="J29" i="11"/>
  <c r="J50" i="11" s="1"/>
  <c r="K28" i="32"/>
  <c r="I15" i="12"/>
  <c r="I16" i="12" s="1"/>
  <c r="I9" i="11"/>
  <c r="O13" i="15"/>
  <c r="D13" i="15"/>
  <c r="P13" i="15"/>
  <c r="K91" i="5"/>
  <c r="N28" i="5"/>
  <c r="N20" i="12" s="1"/>
  <c r="N21" i="12" s="1"/>
  <c r="N10" i="7"/>
  <c r="K82" i="5"/>
  <c r="M29" i="5"/>
  <c r="J30" i="5" s="1"/>
  <c r="M27" i="11"/>
  <c r="P27" i="32" s="1"/>
  <c r="L18" i="7"/>
  <c r="M16" i="7"/>
  <c r="Y16" i="33" s="1"/>
  <c r="H9" i="11"/>
  <c r="L28" i="11"/>
  <c r="L44" i="6"/>
  <c r="I89" i="5"/>
  <c r="I90" i="5" s="1"/>
  <c r="I93" i="5" s="1"/>
  <c r="M79" i="5"/>
  <c r="L81" i="5"/>
  <c r="K41" i="6"/>
  <c r="P15" i="8" l="1"/>
  <c r="P20" i="8" s="1"/>
  <c r="P15" i="7" s="1"/>
  <c r="P12" i="8"/>
  <c r="P32" i="6" s="1"/>
  <c r="P33" i="6" s="1"/>
  <c r="Q19" i="8"/>
  <c r="J7" i="13"/>
  <c r="J8" i="13" s="1"/>
  <c r="J11" i="13" s="1"/>
  <c r="H7" i="13"/>
  <c r="H8" i="13" s="1"/>
  <c r="H11" i="13" s="1"/>
  <c r="I29" i="11"/>
  <c r="K9" i="32"/>
  <c r="J30" i="12"/>
  <c r="J31" i="12" s="1"/>
  <c r="J40" i="12" s="1"/>
  <c r="I23" i="12"/>
  <c r="I25" i="12" s="1"/>
  <c r="I30" i="12" s="1"/>
  <c r="I31" i="12" s="1"/>
  <c r="I40" i="12" s="1"/>
  <c r="I7" i="13"/>
  <c r="I8" i="13" s="1"/>
  <c r="I11" i="13" s="1"/>
  <c r="J9" i="32"/>
  <c r="O9" i="32"/>
  <c r="N16" i="7"/>
  <c r="N17" i="7" s="1"/>
  <c r="T16" i="8"/>
  <c r="E13" i="15"/>
  <c r="Q13" i="15"/>
  <c r="E93" i="5"/>
  <c r="E94" i="5" s="1"/>
  <c r="L9" i="11"/>
  <c r="L29" i="11" s="1"/>
  <c r="L50" i="11" s="1"/>
  <c r="L15" i="12"/>
  <c r="L16" i="12" s="1"/>
  <c r="H30" i="12"/>
  <c r="H29" i="11"/>
  <c r="N29" i="5"/>
  <c r="N27" i="11"/>
  <c r="L91" i="5"/>
  <c r="O28" i="5"/>
  <c r="O20" i="12" s="1"/>
  <c r="O21" i="12" s="1"/>
  <c r="O10" i="7"/>
  <c r="O16" i="7" s="1"/>
  <c r="L82" i="5"/>
  <c r="M17" i="7"/>
  <c r="Y17" i="33" s="1"/>
  <c r="M40" i="6"/>
  <c r="N79" i="5"/>
  <c r="M81" i="5"/>
  <c r="K5" i="6"/>
  <c r="K9" i="6" s="1"/>
  <c r="F94" i="5" l="1"/>
  <c r="G94" i="5" s="1"/>
  <c r="Q7" i="8"/>
  <c r="Q15" i="8" s="1"/>
  <c r="R7" i="8" s="1"/>
  <c r="R15" i="8" s="1"/>
  <c r="S7" i="8" s="1"/>
  <c r="S15" i="8" s="1"/>
  <c r="T7" i="8" s="1"/>
  <c r="T15" i="8" s="1"/>
  <c r="U7" i="8" s="1"/>
  <c r="U15" i="8" s="1"/>
  <c r="V7" i="8" s="1"/>
  <c r="V15" i="8" s="1"/>
  <c r="W7" i="8" s="1"/>
  <c r="W15" i="8" s="1"/>
  <c r="X7" i="8" s="1"/>
  <c r="X15" i="8" s="1"/>
  <c r="Y7" i="8" s="1"/>
  <c r="Y15" i="8" s="1"/>
  <c r="Z15" i="8" s="1"/>
  <c r="AB15" i="8" s="1"/>
  <c r="P13" i="7"/>
  <c r="P11" i="7" s="1"/>
  <c r="P6" i="6"/>
  <c r="R11" i="8"/>
  <c r="G18" i="34"/>
  <c r="N41" i="6"/>
  <c r="N5" i="6" s="1"/>
  <c r="N9" i="6" s="1"/>
  <c r="N44" i="6" s="1"/>
  <c r="N40" i="6"/>
  <c r="J29" i="32"/>
  <c r="O29" i="32"/>
  <c r="I50" i="11"/>
  <c r="K50" i="32" s="1"/>
  <c r="K29" i="32"/>
  <c r="U8" i="8"/>
  <c r="F13" i="15"/>
  <c r="R13" i="15"/>
  <c r="H31" i="12"/>
  <c r="H40" i="12" s="1"/>
  <c r="L7" i="13"/>
  <c r="L8" i="13" s="1"/>
  <c r="L11" i="13" s="1"/>
  <c r="L23" i="12"/>
  <c r="L25" i="12" s="1"/>
  <c r="L30" i="12" s="1"/>
  <c r="L31" i="12" s="1"/>
  <c r="L40" i="12" s="1"/>
  <c r="N18" i="7"/>
  <c r="M91" i="5"/>
  <c r="P28" i="5"/>
  <c r="P20" i="12" s="1"/>
  <c r="P21" i="12" s="1"/>
  <c r="P10" i="7"/>
  <c r="M82" i="5"/>
  <c r="O29" i="5"/>
  <c r="O27" i="11"/>
  <c r="M41" i="6"/>
  <c r="K28" i="11"/>
  <c r="K44" i="6"/>
  <c r="H89" i="5"/>
  <c r="H90" i="5" s="1"/>
  <c r="M18" i="7"/>
  <c r="O17" i="7"/>
  <c r="O41" i="6" s="1"/>
  <c r="O5" i="6" s="1"/>
  <c r="O9" i="6" s="1"/>
  <c r="O40" i="6"/>
  <c r="O79" i="5"/>
  <c r="N81" i="5"/>
  <c r="H50" i="11"/>
  <c r="J50" i="32" s="1"/>
  <c r="Q20" i="8" l="1"/>
  <c r="Q15" i="7" s="1"/>
  <c r="Z15" i="33" s="1"/>
  <c r="Q12" i="8"/>
  <c r="Q32" i="6" s="1"/>
  <c r="Q33" i="6" s="1"/>
  <c r="Z7" i="8"/>
  <c r="R12" i="8"/>
  <c r="R32" i="6" s="1"/>
  <c r="R33" i="6" s="1"/>
  <c r="R19" i="8"/>
  <c r="K89" i="5"/>
  <c r="K90" i="5" s="1"/>
  <c r="K93" i="5" s="1"/>
  <c r="N28" i="11"/>
  <c r="N9" i="11" s="1"/>
  <c r="N29" i="11" s="1"/>
  <c r="K15" i="12"/>
  <c r="K16" i="12" s="1"/>
  <c r="K23" i="12" s="1"/>
  <c r="K25" i="12" s="1"/>
  <c r="P16" i="7"/>
  <c r="P17" i="7" s="1"/>
  <c r="J19" i="7"/>
  <c r="Y18" i="33"/>
  <c r="U16" i="8"/>
  <c r="G13" i="15"/>
  <c r="S13" i="15"/>
  <c r="H93" i="5"/>
  <c r="H94" i="5" s="1"/>
  <c r="I94" i="5" s="1"/>
  <c r="M5" i="6"/>
  <c r="M9" i="6" s="1"/>
  <c r="Q28" i="5"/>
  <c r="Q20" i="12" s="1"/>
  <c r="Q21" i="12" s="1"/>
  <c r="Q10" i="7"/>
  <c r="N91" i="5"/>
  <c r="N82" i="5"/>
  <c r="K83" i="5" s="1"/>
  <c r="P29" i="5"/>
  <c r="P27" i="11"/>
  <c r="K9" i="11"/>
  <c r="O18" i="7"/>
  <c r="O28" i="11"/>
  <c r="L89" i="5"/>
  <c r="L90" i="5" s="1"/>
  <c r="L93" i="5" s="1"/>
  <c r="O44" i="6"/>
  <c r="O81" i="5"/>
  <c r="P79" i="5"/>
  <c r="Q6" i="6" l="1"/>
  <c r="Q13" i="7"/>
  <c r="Q16" i="7" s="1"/>
  <c r="S11" i="8"/>
  <c r="R20" i="8"/>
  <c r="R15" i="7" s="1"/>
  <c r="R13" i="7"/>
  <c r="R11" i="7" s="1"/>
  <c r="R6" i="6"/>
  <c r="K7" i="13"/>
  <c r="K8" i="13" s="1"/>
  <c r="N15" i="12"/>
  <c r="N16" i="12" s="1"/>
  <c r="N23" i="12" s="1"/>
  <c r="N25" i="12" s="1"/>
  <c r="N30" i="12" s="1"/>
  <c r="N31" i="12" s="1"/>
  <c r="N40" i="12" s="1"/>
  <c r="P41" i="6"/>
  <c r="P5" i="6" s="1"/>
  <c r="P9" i="6" s="1"/>
  <c r="M89" i="5" s="1"/>
  <c r="M90" i="5" s="1"/>
  <c r="M93" i="5" s="1"/>
  <c r="P40" i="6"/>
  <c r="Z10" i="33"/>
  <c r="N50" i="11"/>
  <c r="V8" i="8"/>
  <c r="H13" i="15"/>
  <c r="T13" i="15"/>
  <c r="K30" i="12"/>
  <c r="O9" i="11"/>
  <c r="O15" i="12"/>
  <c r="O16" i="12" s="1"/>
  <c r="P18" i="7"/>
  <c r="R28" i="5"/>
  <c r="R20" i="12" s="1"/>
  <c r="R21" i="12" s="1"/>
  <c r="R10" i="7"/>
  <c r="O82" i="5"/>
  <c r="Q29" i="5"/>
  <c r="N30" i="5" s="1"/>
  <c r="Q27" i="11"/>
  <c r="Q27" i="32" s="1"/>
  <c r="J89" i="5"/>
  <c r="J90" i="5" s="1"/>
  <c r="M28" i="11"/>
  <c r="M44" i="6"/>
  <c r="J10" i="6"/>
  <c r="Q79" i="5"/>
  <c r="P81" i="5"/>
  <c r="K29" i="11"/>
  <c r="Q17" i="7" l="1"/>
  <c r="Q41" i="6" s="1"/>
  <c r="Q5" i="6" s="1"/>
  <c r="Q9" i="6" s="1"/>
  <c r="Z16" i="33"/>
  <c r="Q40" i="6"/>
  <c r="Q11" i="7"/>
  <c r="Z11" i="33" s="1"/>
  <c r="Z13" i="33"/>
  <c r="S12" i="8"/>
  <c r="S32" i="6" s="1"/>
  <c r="S33" i="6" s="1"/>
  <c r="S19" i="8"/>
  <c r="N7" i="13"/>
  <c r="N8" i="13" s="1"/>
  <c r="N11" i="13" s="1"/>
  <c r="P44" i="6"/>
  <c r="K11" i="13"/>
  <c r="P28" i="11"/>
  <c r="M15" i="12"/>
  <c r="M16" i="12" s="1"/>
  <c r="M7" i="13" s="1"/>
  <c r="P28" i="32"/>
  <c r="R16" i="7"/>
  <c r="R17" i="7" s="1"/>
  <c r="O29" i="11"/>
  <c r="V16" i="8"/>
  <c r="I13" i="15"/>
  <c r="U13" i="15"/>
  <c r="J93" i="5"/>
  <c r="J94" i="5" s="1"/>
  <c r="O7" i="13"/>
  <c r="O8" i="13" s="1"/>
  <c r="O23" i="12"/>
  <c r="O25" i="12" s="1"/>
  <c r="K31" i="12"/>
  <c r="K40" i="12" s="1"/>
  <c r="S28" i="5"/>
  <c r="S20" i="12" s="1"/>
  <c r="S21" i="12" s="1"/>
  <c r="S10" i="7"/>
  <c r="P82" i="5"/>
  <c r="M9" i="11"/>
  <c r="P9" i="32" s="1"/>
  <c r="R79" i="5"/>
  <c r="Q81" i="5"/>
  <c r="K50" i="11"/>
  <c r="R29" i="5"/>
  <c r="R27" i="11"/>
  <c r="K94" i="5" l="1"/>
  <c r="L94" i="5" s="1"/>
  <c r="M94" i="5" s="1"/>
  <c r="Q18" i="7"/>
  <c r="N19" i="7" s="1"/>
  <c r="Z17" i="33"/>
  <c r="T11" i="8"/>
  <c r="S20" i="8"/>
  <c r="S15" i="7" s="1"/>
  <c r="S13" i="7"/>
  <c r="S6" i="6"/>
  <c r="R40" i="6"/>
  <c r="M23" i="12"/>
  <c r="M25" i="12" s="1"/>
  <c r="H18" i="34" s="1"/>
  <c r="O11" i="13"/>
  <c r="R41" i="6"/>
  <c r="R5" i="6" s="1"/>
  <c r="R9" i="6" s="1"/>
  <c r="R44" i="6" s="1"/>
  <c r="P15" i="12"/>
  <c r="P16" i="12" s="1"/>
  <c r="P23" i="12" s="1"/>
  <c r="P25" i="12" s="1"/>
  <c r="P30" i="12" s="1"/>
  <c r="P31" i="12" s="1"/>
  <c r="P40" i="12" s="1"/>
  <c r="P9" i="11"/>
  <c r="O30" i="12"/>
  <c r="O31" i="12" s="1"/>
  <c r="O40" i="12" s="1"/>
  <c r="O50" i="11"/>
  <c r="Z18" i="33"/>
  <c r="W8" i="8"/>
  <c r="W16" i="8" s="1"/>
  <c r="J13" i="15"/>
  <c r="V13" i="15"/>
  <c r="M8" i="13"/>
  <c r="T28" i="5"/>
  <c r="T20" i="12" s="1"/>
  <c r="T21" i="12" s="1"/>
  <c r="T10" i="7"/>
  <c r="Q82" i="5"/>
  <c r="R18" i="7"/>
  <c r="S79" i="5"/>
  <c r="R81" i="5"/>
  <c r="M29" i="11"/>
  <c r="P29" i="32" s="1"/>
  <c r="P50" i="32" s="1"/>
  <c r="Q28" i="11"/>
  <c r="Q15" i="12" s="1"/>
  <c r="Q16" i="12" s="1"/>
  <c r="Q44" i="6"/>
  <c r="N89" i="5"/>
  <c r="N90" i="5" s="1"/>
  <c r="N10" i="6"/>
  <c r="S29" i="5"/>
  <c r="S27" i="11"/>
  <c r="S11" i="7" l="1"/>
  <c r="T12" i="8"/>
  <c r="T32" i="6" s="1"/>
  <c r="T33" i="6" s="1"/>
  <c r="T19" i="8"/>
  <c r="S16" i="7"/>
  <c r="P7" i="13"/>
  <c r="P8" i="13" s="1"/>
  <c r="P11" i="13" s="1"/>
  <c r="M30" i="12"/>
  <c r="M31" i="12" s="1"/>
  <c r="M40" i="12" s="1"/>
  <c r="P29" i="11"/>
  <c r="R28" i="11"/>
  <c r="R9" i="11" s="1"/>
  <c r="Q28" i="32"/>
  <c r="M11" i="13"/>
  <c r="I5" i="35"/>
  <c r="X8" i="8"/>
  <c r="K13" i="15"/>
  <c r="W13" i="15"/>
  <c r="N93" i="5"/>
  <c r="N94" i="5" s="1"/>
  <c r="C96" i="5" s="1"/>
  <c r="Q7" i="13"/>
  <c r="Q8" i="13" s="1"/>
  <c r="Q11" i="13" s="1"/>
  <c r="Q23" i="12"/>
  <c r="Q25" i="12" s="1"/>
  <c r="I18" i="34" s="1"/>
  <c r="U28" i="5"/>
  <c r="U20" i="12" s="1"/>
  <c r="U21" i="12" s="1"/>
  <c r="U10" i="7"/>
  <c r="R82" i="5"/>
  <c r="O83" i="5" s="1"/>
  <c r="Q9" i="11"/>
  <c r="Q9" i="32" s="1"/>
  <c r="S81" i="5"/>
  <c r="T79" i="5"/>
  <c r="T29" i="5"/>
  <c r="T27" i="11"/>
  <c r="M50" i="11"/>
  <c r="U11" i="8" l="1"/>
  <c r="T20" i="8"/>
  <c r="T15" i="7" s="1"/>
  <c r="T6" i="6"/>
  <c r="T13" i="7"/>
  <c r="S17" i="7"/>
  <c r="S40" i="6"/>
  <c r="AA10" i="33"/>
  <c r="R29" i="11"/>
  <c r="J5" i="35"/>
  <c r="R15" i="12"/>
  <c r="R16" i="12" s="1"/>
  <c r="R7" i="13" s="1"/>
  <c r="R8" i="13" s="1"/>
  <c r="P50" i="11"/>
  <c r="X16" i="8"/>
  <c r="L13" i="15"/>
  <c r="Y13" i="15" s="1"/>
  <c r="X13" i="15"/>
  <c r="B57" i="5"/>
  <c r="B11" i="5" s="1"/>
  <c r="C15" i="22" s="1"/>
  <c r="B33" i="3"/>
  <c r="Q30" i="12"/>
  <c r="V28" i="5"/>
  <c r="V20" i="12" s="1"/>
  <c r="V21" i="12" s="1"/>
  <c r="V10" i="7"/>
  <c r="S82" i="5"/>
  <c r="Q29" i="11"/>
  <c r="Q29" i="32" s="1"/>
  <c r="Q50" i="32" s="1"/>
  <c r="T81" i="5"/>
  <c r="U79" i="5"/>
  <c r="U29" i="5"/>
  <c r="R30" i="5" s="1"/>
  <c r="U27" i="11"/>
  <c r="R27" i="32" s="1"/>
  <c r="S41" i="6" l="1"/>
  <c r="S5" i="6" s="1"/>
  <c r="S9" i="6" s="1"/>
  <c r="S18" i="7"/>
  <c r="T11" i="7"/>
  <c r="T16" i="7"/>
  <c r="U12" i="8"/>
  <c r="U32" i="6" s="1"/>
  <c r="U33" i="6" s="1"/>
  <c r="U19" i="8"/>
  <c r="B34" i="3"/>
  <c r="B15" i="3" s="1"/>
  <c r="B165" i="3"/>
  <c r="D165" i="3" s="1"/>
  <c r="R23" i="12"/>
  <c r="R25" i="12" s="1"/>
  <c r="R30" i="12" s="1"/>
  <c r="R31" i="12" s="1"/>
  <c r="R40" i="12" s="1"/>
  <c r="R11" i="13"/>
  <c r="R50" i="11"/>
  <c r="Y8" i="8"/>
  <c r="B59" i="5"/>
  <c r="B14" i="3"/>
  <c r="C15" i="21" s="1"/>
  <c r="C30" i="21" s="1"/>
  <c r="B6" i="5"/>
  <c r="Q31" i="12"/>
  <c r="Q40" i="12" s="1"/>
  <c r="V79" i="5"/>
  <c r="V81" i="5" s="1"/>
  <c r="U81" i="5"/>
  <c r="V29" i="5"/>
  <c r="V27" i="11"/>
  <c r="W28" i="5"/>
  <c r="W20" i="12" s="1"/>
  <c r="W21" i="12" s="1"/>
  <c r="W10" i="7"/>
  <c r="T82" i="5"/>
  <c r="F24" i="5"/>
  <c r="F32" i="11" s="1"/>
  <c r="B13" i="5"/>
  <c r="C17" i="22" s="1"/>
  <c r="Q50" i="11"/>
  <c r="B42" i="16" l="1"/>
  <c r="B84" i="16" s="1"/>
  <c r="V11" i="8"/>
  <c r="U20" i="8"/>
  <c r="U15" i="7" s="1"/>
  <c r="AA15" i="33" s="1"/>
  <c r="T40" i="6"/>
  <c r="T17" i="7"/>
  <c r="T18" i="7" s="1"/>
  <c r="U13" i="7"/>
  <c r="U6" i="6"/>
  <c r="S44" i="6"/>
  <c r="S28" i="11"/>
  <c r="B6" i="12"/>
  <c r="B8" i="17" s="1"/>
  <c r="C9" i="22"/>
  <c r="H32" i="32"/>
  <c r="O32" i="32"/>
  <c r="B5" i="17"/>
  <c r="C16" i="21"/>
  <c r="C31" i="21" s="1"/>
  <c r="Y16" i="8"/>
  <c r="B7" i="5"/>
  <c r="C10" i="22" s="1"/>
  <c r="I165" i="3"/>
  <c r="I166" i="3" s="1"/>
  <c r="H15" i="3" s="1"/>
  <c r="I16" i="21" s="1"/>
  <c r="T16" i="21" s="1"/>
  <c r="G165" i="3"/>
  <c r="F14" i="3" s="1"/>
  <c r="G15" i="21" s="1"/>
  <c r="R15" i="21" s="1"/>
  <c r="E165" i="3"/>
  <c r="E166" i="3" s="1"/>
  <c r="D15" i="3" s="1"/>
  <c r="E16" i="21" s="1"/>
  <c r="P16" i="21" s="1"/>
  <c r="B166" i="3"/>
  <c r="H165" i="3"/>
  <c r="H166" i="3" s="1"/>
  <c r="G15" i="3" s="1"/>
  <c r="H16" i="21" s="1"/>
  <c r="S16" i="21" s="1"/>
  <c r="F165" i="3"/>
  <c r="F166" i="3" s="1"/>
  <c r="E15" i="3" s="1"/>
  <c r="F16" i="21" s="1"/>
  <c r="Q16" i="21" s="1"/>
  <c r="Y10" i="7"/>
  <c r="Y28" i="5"/>
  <c r="Y20" i="12" s="1"/>
  <c r="Y21" i="12" s="1"/>
  <c r="V82" i="5"/>
  <c r="W81" i="5"/>
  <c r="F43" i="11"/>
  <c r="Z32" i="11"/>
  <c r="D32" i="32" s="1"/>
  <c r="X28" i="5"/>
  <c r="X20" i="12" s="1"/>
  <c r="X21" i="12" s="1"/>
  <c r="X10" i="7"/>
  <c r="U82" i="5"/>
  <c r="W29" i="5"/>
  <c r="W27" i="11"/>
  <c r="C14" i="3"/>
  <c r="D15" i="21" s="1"/>
  <c r="O15" i="21" s="1"/>
  <c r="D166" i="3"/>
  <c r="C15" i="3" s="1"/>
  <c r="D16" i="21" s="1"/>
  <c r="O16" i="21" s="1"/>
  <c r="F42" i="16" l="1"/>
  <c r="U11" i="7"/>
  <c r="AA11" i="33" s="1"/>
  <c r="U16" i="7"/>
  <c r="AA13" i="33"/>
  <c r="T41" i="6"/>
  <c r="T5" i="6" s="1"/>
  <c r="T9" i="6" s="1"/>
  <c r="S9" i="11"/>
  <c r="S29" i="11" s="1"/>
  <c r="S50" i="11" s="1"/>
  <c r="S15" i="12"/>
  <c r="S16" i="12" s="1"/>
  <c r="V12" i="8"/>
  <c r="V32" i="6" s="1"/>
  <c r="V33" i="6" s="1"/>
  <c r="V19" i="8"/>
  <c r="B7" i="12"/>
  <c r="B6" i="17" s="1"/>
  <c r="C9" i="20"/>
  <c r="H43" i="32"/>
  <c r="O43" i="32"/>
  <c r="O50" i="32" s="1"/>
  <c r="O51" i="32" s="1"/>
  <c r="O52" i="32" s="1"/>
  <c r="P51" i="32" s="1"/>
  <c r="P52" i="32" s="1"/>
  <c r="Q51" i="32" s="1"/>
  <c r="Q52" i="32" s="1"/>
  <c r="R51" i="32" s="1"/>
  <c r="F50" i="11"/>
  <c r="AB10" i="33"/>
  <c r="B33" i="17"/>
  <c r="C6" i="20"/>
  <c r="G14" i="3"/>
  <c r="H15" i="21" s="1"/>
  <c r="S15" i="21" s="1"/>
  <c r="Z8" i="8"/>
  <c r="Z16" i="8"/>
  <c r="AB16" i="8" s="1"/>
  <c r="H14" i="3"/>
  <c r="I15" i="21" s="1"/>
  <c r="T15" i="21" s="1"/>
  <c r="J165" i="3"/>
  <c r="I14" i="3" s="1"/>
  <c r="J15" i="21" s="1"/>
  <c r="E14" i="3"/>
  <c r="F15" i="21" s="1"/>
  <c r="Q15" i="21" s="1"/>
  <c r="G166" i="3"/>
  <c r="F15" i="3" s="1"/>
  <c r="D14" i="3"/>
  <c r="E15" i="21" s="1"/>
  <c r="P15" i="21" s="1"/>
  <c r="F6" i="13"/>
  <c r="S83" i="5"/>
  <c r="AB10" i="7"/>
  <c r="C17" i="3"/>
  <c r="D17" i="3" s="1"/>
  <c r="E17" i="3" s="1"/>
  <c r="C16" i="3"/>
  <c r="Z43" i="11"/>
  <c r="D43" i="32" s="1"/>
  <c r="Z10" i="7"/>
  <c r="N10" i="33" s="1"/>
  <c r="X29" i="5"/>
  <c r="X27" i="11"/>
  <c r="Y29" i="5"/>
  <c r="Y27" i="11"/>
  <c r="W82" i="5"/>
  <c r="S7" i="13" l="1"/>
  <c r="S8" i="13" s="1"/>
  <c r="S11" i="13" s="1"/>
  <c r="S23" i="12"/>
  <c r="S25" i="12" s="1"/>
  <c r="S30" i="12" s="1"/>
  <c r="S31" i="12" s="1"/>
  <c r="S40" i="12" s="1"/>
  <c r="T28" i="11"/>
  <c r="T44" i="6"/>
  <c r="AA16" i="33"/>
  <c r="U17" i="7"/>
  <c r="U40" i="6"/>
  <c r="W11" i="8"/>
  <c r="V20" i="8"/>
  <c r="V15" i="7" s="1"/>
  <c r="V13" i="7"/>
  <c r="V6" i="6"/>
  <c r="F29" i="12"/>
  <c r="Z29" i="12" s="1"/>
  <c r="S27" i="32"/>
  <c r="C34" i="20"/>
  <c r="C34" i="39"/>
  <c r="H50" i="32"/>
  <c r="C7" i="20"/>
  <c r="F16" i="3"/>
  <c r="G16" i="21"/>
  <c r="R16" i="21" s="1"/>
  <c r="J166" i="3"/>
  <c r="I15" i="3" s="1"/>
  <c r="J16" i="21" s="1"/>
  <c r="G6" i="13"/>
  <c r="G8" i="13" s="1"/>
  <c r="G11" i="13" s="1"/>
  <c r="F17" i="3"/>
  <c r="G17" i="3" s="1"/>
  <c r="H17" i="3" s="1"/>
  <c r="B46" i="16"/>
  <c r="E46" i="16" s="1"/>
  <c r="F8" i="13"/>
  <c r="E51" i="15"/>
  <c r="O14" i="15" s="1"/>
  <c r="V30" i="5"/>
  <c r="C46" i="16" s="1"/>
  <c r="F46" i="16" s="1"/>
  <c r="Z27" i="11"/>
  <c r="D27" i="32" s="1"/>
  <c r="F51" i="11"/>
  <c r="U41" i="6" l="1"/>
  <c r="U5" i="6" s="1"/>
  <c r="U9" i="6" s="1"/>
  <c r="AA17" i="33"/>
  <c r="V11" i="7"/>
  <c r="V16" i="7"/>
  <c r="T9" i="11"/>
  <c r="T15" i="12"/>
  <c r="T16" i="12" s="1"/>
  <c r="W12" i="8"/>
  <c r="W32" i="6" s="1"/>
  <c r="W33" i="6" s="1"/>
  <c r="W19" i="8"/>
  <c r="U18" i="7"/>
  <c r="F31" i="12"/>
  <c r="H5" i="35"/>
  <c r="F52" i="11"/>
  <c r="H52" i="32" s="1"/>
  <c r="H51" i="32"/>
  <c r="Z6" i="13"/>
  <c r="P14" i="15"/>
  <c r="Q14" i="15" s="1"/>
  <c r="R14" i="15" s="1"/>
  <c r="S14" i="15" s="1"/>
  <c r="T14" i="15" s="1"/>
  <c r="U14" i="15" s="1"/>
  <c r="V14" i="15" s="1"/>
  <c r="W14" i="15" s="1"/>
  <c r="X14" i="15" s="1"/>
  <c r="Y14" i="15" s="1"/>
  <c r="F9" i="13"/>
  <c r="G9" i="13" s="1"/>
  <c r="H9" i="13" s="1"/>
  <c r="F11" i="13"/>
  <c r="F40" i="12" l="1"/>
  <c r="B44" i="12"/>
  <c r="T29" i="11"/>
  <c r="V17" i="7"/>
  <c r="V41" i="6" s="1"/>
  <c r="V5" i="6" s="1"/>
  <c r="V9" i="6" s="1"/>
  <c r="V40" i="6"/>
  <c r="X11" i="8"/>
  <c r="W20" i="8"/>
  <c r="W15" i="7" s="1"/>
  <c r="W6" i="6"/>
  <c r="W13" i="7"/>
  <c r="R19" i="7"/>
  <c r="AA18" i="33"/>
  <c r="U28" i="11"/>
  <c r="U44" i="6"/>
  <c r="R10" i="6"/>
  <c r="T23" i="12"/>
  <c r="T25" i="12" s="1"/>
  <c r="T7" i="13"/>
  <c r="T8" i="13" s="1"/>
  <c r="F32" i="12"/>
  <c r="F33" i="12" s="1"/>
  <c r="G51" i="11"/>
  <c r="I51" i="32" s="1"/>
  <c r="G10" i="13"/>
  <c r="F10" i="13"/>
  <c r="I9" i="13"/>
  <c r="H10" i="13"/>
  <c r="X12" i="8" l="1"/>
  <c r="X32" i="6" s="1"/>
  <c r="X33" i="6" s="1"/>
  <c r="X19" i="8"/>
  <c r="V18" i="7"/>
  <c r="V28" i="11"/>
  <c r="V44" i="6"/>
  <c r="U15" i="12"/>
  <c r="U16" i="12" s="1"/>
  <c r="U9" i="11"/>
  <c r="R28" i="32"/>
  <c r="T11" i="13"/>
  <c r="W11" i="7"/>
  <c r="W16" i="7"/>
  <c r="T30" i="12"/>
  <c r="T31" i="12" s="1"/>
  <c r="T40" i="12" s="1"/>
  <c r="T50" i="11"/>
  <c r="G32" i="12"/>
  <c r="H32" i="12" s="1"/>
  <c r="G52" i="11"/>
  <c r="J9" i="13"/>
  <c r="I10" i="13"/>
  <c r="I52" i="32" l="1"/>
  <c r="U23" i="12"/>
  <c r="U25" i="12" s="1"/>
  <c r="U7" i="13"/>
  <c r="U8" i="13" s="1"/>
  <c r="W40" i="6"/>
  <c r="W17" i="7"/>
  <c r="W18" i="7" s="1"/>
  <c r="V9" i="11"/>
  <c r="V29" i="11" s="1"/>
  <c r="V50" i="11" s="1"/>
  <c r="V15" i="12"/>
  <c r="V16" i="12" s="1"/>
  <c r="Y11" i="8"/>
  <c r="X20" i="8"/>
  <c r="X15" i="7" s="1"/>
  <c r="X13" i="7"/>
  <c r="X6" i="6"/>
  <c r="U29" i="11"/>
  <c r="R9" i="32"/>
  <c r="G33" i="12"/>
  <c r="H51" i="11"/>
  <c r="H52" i="11" s="1"/>
  <c r="H33" i="12"/>
  <c r="I32" i="12"/>
  <c r="K9" i="13"/>
  <c r="J10" i="13"/>
  <c r="X11" i="7" l="1"/>
  <c r="X16" i="7"/>
  <c r="Y12" i="8"/>
  <c r="Y32" i="6" s="1"/>
  <c r="Y33" i="6" s="1"/>
  <c r="Y19" i="8"/>
  <c r="Z11" i="8" s="1"/>
  <c r="Z12" i="8" s="1"/>
  <c r="V23" i="12"/>
  <c r="V25" i="12" s="1"/>
  <c r="V30" i="12" s="1"/>
  <c r="V31" i="12" s="1"/>
  <c r="V40" i="12" s="1"/>
  <c r="V7" i="13"/>
  <c r="V8" i="13" s="1"/>
  <c r="V11" i="13" s="1"/>
  <c r="W41" i="6"/>
  <c r="W5" i="6" s="1"/>
  <c r="U11" i="13"/>
  <c r="K5" i="35"/>
  <c r="U50" i="11"/>
  <c r="R29" i="32"/>
  <c r="R50" i="32" s="1"/>
  <c r="R52" i="32" s="1"/>
  <c r="S51" i="32" s="1"/>
  <c r="U30" i="12"/>
  <c r="U31" i="12" s="1"/>
  <c r="U40" i="12" s="1"/>
  <c r="J18" i="34"/>
  <c r="J51" i="32"/>
  <c r="I51" i="11"/>
  <c r="J52" i="32"/>
  <c r="I33" i="12"/>
  <c r="J32" i="12"/>
  <c r="L9" i="13"/>
  <c r="K10" i="13"/>
  <c r="W9" i="6" l="1"/>
  <c r="X17" i="7"/>
  <c r="X18" i="7" s="1"/>
  <c r="X40" i="6"/>
  <c r="Z19" i="8"/>
  <c r="Y20" i="8"/>
  <c r="Y15" i="7" s="1"/>
  <c r="Y6" i="6"/>
  <c r="AC6" i="6" s="1"/>
  <c r="Y13" i="7"/>
  <c r="Z33" i="6"/>
  <c r="Z6" i="6" s="1"/>
  <c r="I52" i="11"/>
  <c r="K51" i="32"/>
  <c r="K32" i="12"/>
  <c r="J33" i="12"/>
  <c r="M9" i="13"/>
  <c r="L10" i="13"/>
  <c r="AB13" i="33" l="1"/>
  <c r="Y11" i="7"/>
  <c r="Y16" i="7"/>
  <c r="Z13" i="7"/>
  <c r="N13" i="33" s="1"/>
  <c r="AB13" i="7"/>
  <c r="B11" i="15"/>
  <c r="J7" i="31"/>
  <c r="AB15" i="33"/>
  <c r="AB15" i="7"/>
  <c r="Z15" i="7"/>
  <c r="N15" i="33" s="1"/>
  <c r="AB19" i="8"/>
  <c r="Z20" i="8"/>
  <c r="X41" i="6"/>
  <c r="X5" i="6" s="1"/>
  <c r="W44" i="6"/>
  <c r="W28" i="11"/>
  <c r="J51" i="11"/>
  <c r="J52" i="11" s="1"/>
  <c r="K51" i="11" s="1"/>
  <c r="K52" i="11" s="1"/>
  <c r="L51" i="11" s="1"/>
  <c r="L52" i="11" s="1"/>
  <c r="M51" i="11" s="1"/>
  <c r="M52" i="11" s="1"/>
  <c r="N51" i="11" s="1"/>
  <c r="N52" i="11" s="1"/>
  <c r="O51" i="11" s="1"/>
  <c r="O52" i="11" s="1"/>
  <c r="P51" i="11" s="1"/>
  <c r="P52" i="11" s="1"/>
  <c r="Q51" i="11" s="1"/>
  <c r="Q52" i="11" s="1"/>
  <c r="R51" i="11" s="1"/>
  <c r="R52" i="11" s="1"/>
  <c r="S51" i="11" s="1"/>
  <c r="S52" i="11" s="1"/>
  <c r="T51" i="11" s="1"/>
  <c r="T52" i="11" s="1"/>
  <c r="U51" i="11" s="1"/>
  <c r="U52" i="11" s="1"/>
  <c r="V51" i="11" s="1"/>
  <c r="V52" i="11" s="1"/>
  <c r="W51" i="11" s="1"/>
  <c r="K52" i="32"/>
  <c r="K33" i="12"/>
  <c r="L32" i="12"/>
  <c r="N9" i="13"/>
  <c r="M10" i="13"/>
  <c r="X9" i="6" l="1"/>
  <c r="C11" i="15"/>
  <c r="O11" i="15"/>
  <c r="W15" i="12"/>
  <c r="W16" i="12" s="1"/>
  <c r="W9" i="11"/>
  <c r="Y17" i="7"/>
  <c r="Y18" i="7" s="1"/>
  <c r="Y40" i="6"/>
  <c r="AB16" i="7"/>
  <c r="AB16" i="33"/>
  <c r="Z16" i="7"/>
  <c r="N16" i="33" s="1"/>
  <c r="AB11" i="33"/>
  <c r="Z11" i="7"/>
  <c r="N11" i="33" s="1"/>
  <c r="AB11" i="7"/>
  <c r="M32" i="12"/>
  <c r="L33" i="12"/>
  <c r="O9" i="13"/>
  <c r="N10" i="13"/>
  <c r="W29" i="11" l="1"/>
  <c r="W23" i="12"/>
  <c r="W25" i="12" s="1"/>
  <c r="W7" i="13"/>
  <c r="Z18" i="7"/>
  <c r="N18" i="33" s="1"/>
  <c r="AB18" i="33"/>
  <c r="AB18" i="7"/>
  <c r="AE8" i="7" s="1"/>
  <c r="V19" i="7"/>
  <c r="P11" i="15"/>
  <c r="D11" i="15"/>
  <c r="Y41" i="6"/>
  <c r="AB17" i="33"/>
  <c r="AB17" i="7"/>
  <c r="AE7" i="7" s="1"/>
  <c r="Z17" i="7"/>
  <c r="N17" i="33" s="1"/>
  <c r="X44" i="6"/>
  <c r="X28" i="11"/>
  <c r="N32" i="12"/>
  <c r="M33" i="12"/>
  <c r="P9" i="13"/>
  <c r="O10" i="13"/>
  <c r="Z41" i="6" l="1"/>
  <c r="Z5" i="6" s="1"/>
  <c r="Z9" i="6" s="1"/>
  <c r="Y5" i="6"/>
  <c r="W8" i="13"/>
  <c r="E11" i="15"/>
  <c r="Q11" i="15"/>
  <c r="W30" i="12"/>
  <c r="W31" i="12" s="1"/>
  <c r="X9" i="11"/>
  <c r="X15" i="12"/>
  <c r="X16" i="12" s="1"/>
  <c r="W50" i="11"/>
  <c r="W52" i="11" s="1"/>
  <c r="O32" i="12"/>
  <c r="N33" i="12"/>
  <c r="P10" i="13"/>
  <c r="Q9" i="13"/>
  <c r="W40" i="12" l="1"/>
  <c r="X51" i="11"/>
  <c r="R11" i="15"/>
  <c r="F11" i="15"/>
  <c r="W11" i="13"/>
  <c r="X7" i="13"/>
  <c r="X23" i="12"/>
  <c r="X25" i="12" s="1"/>
  <c r="Y9" i="6"/>
  <c r="AC5" i="6"/>
  <c r="X29" i="11"/>
  <c r="O33" i="12"/>
  <c r="P32" i="12"/>
  <c r="R9" i="13"/>
  <c r="Q10" i="13"/>
  <c r="Y28" i="11" l="1"/>
  <c r="Y44" i="6"/>
  <c r="V10" i="6"/>
  <c r="G11" i="15"/>
  <c r="S11" i="15"/>
  <c r="X30" i="12"/>
  <c r="X31" i="12" s="1"/>
  <c r="X50" i="11"/>
  <c r="X52" i="11" s="1"/>
  <c r="X8" i="13"/>
  <c r="B10" i="15"/>
  <c r="B17" i="15" s="1"/>
  <c r="AC9" i="6"/>
  <c r="J6" i="31"/>
  <c r="Q32" i="12"/>
  <c r="P33" i="12"/>
  <c r="S9" i="13"/>
  <c r="R10" i="13"/>
  <c r="X40" i="12" l="1"/>
  <c r="Y51" i="11"/>
  <c r="H11" i="15"/>
  <c r="T11" i="15"/>
  <c r="J10" i="31"/>
  <c r="B23" i="17"/>
  <c r="E49" i="15"/>
  <c r="C56" i="15" s="1"/>
  <c r="B44" i="16"/>
  <c r="F44" i="16" s="1"/>
  <c r="X11" i="13"/>
  <c r="E10" i="15"/>
  <c r="E9" i="15" s="1"/>
  <c r="E15" i="15" s="1"/>
  <c r="H10" i="15"/>
  <c r="B9" i="15"/>
  <c r="B15" i="15" s="1"/>
  <c r="L10" i="15"/>
  <c r="F10" i="15"/>
  <c r="F9" i="15" s="1"/>
  <c r="F15" i="15" s="1"/>
  <c r="I10" i="15"/>
  <c r="C10" i="15"/>
  <c r="C9" i="15" s="1"/>
  <c r="C15" i="15" s="1"/>
  <c r="J10" i="15"/>
  <c r="G10" i="15"/>
  <c r="G9" i="15" s="1"/>
  <c r="G15" i="15" s="1"/>
  <c r="K10" i="15"/>
  <c r="O10" i="15"/>
  <c r="D10" i="15"/>
  <c r="D9" i="15" s="1"/>
  <c r="D15" i="15" s="1"/>
  <c r="Y9" i="11"/>
  <c r="Y15" i="12"/>
  <c r="Y16" i="12" s="1"/>
  <c r="S28" i="32"/>
  <c r="Z28" i="11"/>
  <c r="Q33" i="12"/>
  <c r="R32" i="12"/>
  <c r="T9" i="13"/>
  <c r="S10" i="13"/>
  <c r="U11" i="15" l="1"/>
  <c r="I11" i="15"/>
  <c r="Q10" i="15"/>
  <c r="Q9" i="15" s="1"/>
  <c r="Q15" i="15" s="1"/>
  <c r="P10" i="15"/>
  <c r="P9" i="15" s="1"/>
  <c r="P15" i="15" s="1"/>
  <c r="Y10" i="15"/>
  <c r="U10" i="15"/>
  <c r="U9" i="15" s="1"/>
  <c r="U15" i="15" s="1"/>
  <c r="W10" i="15"/>
  <c r="X10" i="15"/>
  <c r="S10" i="15"/>
  <c r="S9" i="15" s="1"/>
  <c r="S15" i="15" s="1"/>
  <c r="V10" i="15"/>
  <c r="R10" i="15"/>
  <c r="R9" i="15" s="1"/>
  <c r="R15" i="15" s="1"/>
  <c r="T10" i="15"/>
  <c r="T9" i="15" s="1"/>
  <c r="T15" i="15" s="1"/>
  <c r="O9" i="15"/>
  <c r="O15" i="15" s="1"/>
  <c r="O17" i="15"/>
  <c r="S9" i="32"/>
  <c r="Y29" i="11"/>
  <c r="Z9" i="11"/>
  <c r="D9" i="32" s="1"/>
  <c r="A30" i="1"/>
  <c r="F51" i="2" s="1"/>
  <c r="E28" i="3" s="1"/>
  <c r="E56" i="5" s="1"/>
  <c r="S15" i="36"/>
  <c r="B18" i="15"/>
  <c r="E44" i="16"/>
  <c r="B71" i="16" s="1"/>
  <c r="F51" i="16"/>
  <c r="F53" i="16" s="1"/>
  <c r="H9" i="15"/>
  <c r="H15" i="15" s="1"/>
  <c r="C58" i="15"/>
  <c r="D66" i="15" s="1"/>
  <c r="E66" i="15" s="1"/>
  <c r="C59" i="15"/>
  <c r="D67" i="15" s="1"/>
  <c r="E67" i="15" s="1"/>
  <c r="C57" i="15"/>
  <c r="Y7" i="13"/>
  <c r="Y23" i="12"/>
  <c r="Y25" i="12" s="1"/>
  <c r="Z15" i="12"/>
  <c r="Z16" i="12" s="1"/>
  <c r="D28" i="32"/>
  <c r="C24" i="39"/>
  <c r="C24" i="20"/>
  <c r="B20" i="17"/>
  <c r="S32" i="12"/>
  <c r="R33" i="12"/>
  <c r="U9" i="13"/>
  <c r="T10" i="13"/>
  <c r="S29" i="32" l="1"/>
  <c r="S50" i="32" s="1"/>
  <c r="S52" i="32" s="1"/>
  <c r="Y50" i="11"/>
  <c r="Z29" i="11"/>
  <c r="D29" i="32" s="1"/>
  <c r="D65" i="15"/>
  <c r="E65" i="15" s="1"/>
  <c r="C60" i="15"/>
  <c r="J11" i="15"/>
  <c r="V11" i="15"/>
  <c r="V9" i="15" s="1"/>
  <c r="V15" i="15" s="1"/>
  <c r="C21" i="39"/>
  <c r="C21" i="20"/>
  <c r="B25" i="17"/>
  <c r="S18" i="36"/>
  <c r="A32" i="1"/>
  <c r="F53" i="2" s="1"/>
  <c r="E30" i="3" s="1"/>
  <c r="E58" i="5" s="1"/>
  <c r="O18" i="15"/>
  <c r="K18" i="34"/>
  <c r="L18" i="34" s="1"/>
  <c r="Y30" i="12"/>
  <c r="Z25" i="12"/>
  <c r="B9" i="12" s="1"/>
  <c r="H56" i="16"/>
  <c r="B60" i="16"/>
  <c r="B79" i="16" s="1"/>
  <c r="C79" i="16" s="1"/>
  <c r="B7" i="16" s="1"/>
  <c r="C7" i="16" s="1"/>
  <c r="E51" i="16"/>
  <c r="C71" i="16"/>
  <c r="B5" i="16" s="1"/>
  <c r="C5" i="16" s="1"/>
  <c r="B77" i="16"/>
  <c r="C77" i="16" s="1"/>
  <c r="B6" i="16" s="1"/>
  <c r="C6" i="16" s="1"/>
  <c r="B61" i="16"/>
  <c r="B81" i="16" s="1"/>
  <c r="C81" i="16" s="1"/>
  <c r="B8" i="16" s="1"/>
  <c r="C8" i="16" s="1"/>
  <c r="I9" i="15"/>
  <c r="I15" i="15" s="1"/>
  <c r="Y8" i="13"/>
  <c r="Z7" i="13"/>
  <c r="S16" i="36"/>
  <c r="W78" i="11"/>
  <c r="F78" i="11"/>
  <c r="N78" i="11"/>
  <c r="I78" i="11"/>
  <c r="Z78" i="11"/>
  <c r="R78" i="11"/>
  <c r="M78" i="11"/>
  <c r="Q78" i="11"/>
  <c r="Y78" i="11"/>
  <c r="H78" i="11"/>
  <c r="P78" i="11"/>
  <c r="G78" i="11"/>
  <c r="T78" i="11"/>
  <c r="K78" i="11"/>
  <c r="A31" i="1"/>
  <c r="F52" i="2" s="1"/>
  <c r="E29" i="3" s="1"/>
  <c r="E57" i="5" s="1"/>
  <c r="V78" i="11"/>
  <c r="U78" i="11"/>
  <c r="L78" i="11"/>
  <c r="S78" i="11"/>
  <c r="J78" i="11"/>
  <c r="O78" i="11"/>
  <c r="X78" i="11"/>
  <c r="T32" i="12"/>
  <c r="S33" i="12"/>
  <c r="V9" i="13"/>
  <c r="U10" i="13"/>
  <c r="K11" i="15" l="1"/>
  <c r="W11" i="15"/>
  <c r="W9" i="15" s="1"/>
  <c r="W15" i="15" s="1"/>
  <c r="J9" i="15"/>
  <c r="J15" i="15" s="1"/>
  <c r="S19" i="36"/>
  <c r="F80" i="11"/>
  <c r="Z80" i="11"/>
  <c r="K80" i="11"/>
  <c r="I80" i="11"/>
  <c r="O80" i="11"/>
  <c r="M80" i="11"/>
  <c r="S80" i="11"/>
  <c r="W80" i="11"/>
  <c r="J80" i="11"/>
  <c r="P80" i="11"/>
  <c r="N80" i="11"/>
  <c r="Y80" i="11"/>
  <c r="X80" i="11"/>
  <c r="V80" i="11"/>
  <c r="T80" i="11"/>
  <c r="R80" i="11"/>
  <c r="U80" i="11"/>
  <c r="L80" i="11"/>
  <c r="Q80" i="11"/>
  <c r="H80" i="11"/>
  <c r="G80" i="11"/>
  <c r="E53" i="16"/>
  <c r="B85" i="16"/>
  <c r="B86" i="16" s="1"/>
  <c r="C26" i="39"/>
  <c r="C26" i="20"/>
  <c r="D17" i="18"/>
  <c r="B29" i="17"/>
  <c r="B28" i="17"/>
  <c r="Z50" i="11"/>
  <c r="D50" i="32" s="1"/>
  <c r="Y52" i="11"/>
  <c r="A25" i="1" s="1"/>
  <c r="K56" i="16"/>
  <c r="B74" i="16" s="1"/>
  <c r="I56" i="16"/>
  <c r="B68" i="16" s="1"/>
  <c r="C68" i="16" s="1"/>
  <c r="H57" i="16"/>
  <c r="Z30" i="12"/>
  <c r="Y31" i="12"/>
  <c r="Z8" i="13"/>
  <c r="B30" i="13"/>
  <c r="L5" i="35"/>
  <c r="M5" i="35" s="1"/>
  <c r="B34" i="13"/>
  <c r="U32" i="12"/>
  <c r="T33" i="12"/>
  <c r="W9" i="13"/>
  <c r="V10" i="13"/>
  <c r="C6" i="34" l="1"/>
  <c r="B37" i="12"/>
  <c r="B38" i="12" s="1"/>
  <c r="Y40" i="12" s="1"/>
  <c r="B48" i="12"/>
  <c r="Z31" i="12"/>
  <c r="C30" i="20"/>
  <c r="C30" i="39"/>
  <c r="N9" i="36"/>
  <c r="F82" i="11"/>
  <c r="D8" i="18" s="1"/>
  <c r="H58" i="16"/>
  <c r="K57" i="16"/>
  <c r="B75" i="16" s="1"/>
  <c r="I57" i="16"/>
  <c r="B69" i="16" s="1"/>
  <c r="C69" i="16" s="1"/>
  <c r="C34" i="13"/>
  <c r="C18" i="35"/>
  <c r="N8" i="36"/>
  <c r="D18" i="18"/>
  <c r="C29" i="39"/>
  <c r="C29" i="20"/>
  <c r="Z52" i="11"/>
  <c r="D52" i="32" s="1"/>
  <c r="F46" i="2"/>
  <c r="E23" i="3" s="1"/>
  <c r="E51" i="5" s="1"/>
  <c r="A27" i="1"/>
  <c r="F48" i="2" s="1"/>
  <c r="E25" i="3" s="1"/>
  <c r="E53" i="5" s="1"/>
  <c r="B35" i="17"/>
  <c r="C14" i="35"/>
  <c r="X11" i="15"/>
  <c r="X9" i="15" s="1"/>
  <c r="X15" i="15" s="1"/>
  <c r="L11" i="15"/>
  <c r="K9" i="15"/>
  <c r="K15" i="15" s="1"/>
  <c r="V32" i="12"/>
  <c r="U33" i="12"/>
  <c r="X9" i="13"/>
  <c r="W10" i="13"/>
  <c r="C36" i="39" l="1"/>
  <c r="C36" i="20"/>
  <c r="D24" i="18"/>
  <c r="B36" i="17"/>
  <c r="A29" i="1"/>
  <c r="F50" i="2" s="1"/>
  <c r="E27" i="3" s="1"/>
  <c r="E55" i="5" s="1"/>
  <c r="D18" i="35"/>
  <c r="C48" i="12"/>
  <c r="D10" i="34" s="1"/>
  <c r="C10" i="34"/>
  <c r="C18" i="34"/>
  <c r="B16" i="13"/>
  <c r="I58" i="16"/>
  <c r="B70" i="16" s="1"/>
  <c r="C70" i="16" s="1"/>
  <c r="K58" i="16"/>
  <c r="B76" i="16" s="1"/>
  <c r="I24" i="16" s="1"/>
  <c r="B49" i="12"/>
  <c r="B45" i="12"/>
  <c r="C7" i="34" s="1"/>
  <c r="Y11" i="15"/>
  <c r="Y9" i="15" s="1"/>
  <c r="Y15" i="15" s="1"/>
  <c r="L9" i="15"/>
  <c r="L15" i="15" s="1"/>
  <c r="W32" i="12"/>
  <c r="V33" i="12"/>
  <c r="Y9" i="13"/>
  <c r="Y10" i="13" s="1"/>
  <c r="X10" i="13"/>
  <c r="C37" i="39" l="1"/>
  <c r="D25" i="18"/>
  <c r="C37" i="20"/>
  <c r="Y11" i="13"/>
  <c r="D7" i="18"/>
  <c r="C11" i="34"/>
  <c r="C49" i="12"/>
  <c r="D11" i="34" s="1"/>
  <c r="X32" i="12"/>
  <c r="W33" i="12"/>
  <c r="B14" i="13"/>
  <c r="B31" i="13" l="1"/>
  <c r="C15" i="35" s="1"/>
  <c r="B35" i="13"/>
  <c r="C14" i="13"/>
  <c r="A26" i="1" s="1"/>
  <c r="F47" i="2" s="1"/>
  <c r="E24" i="3" s="1"/>
  <c r="E52" i="5" s="1"/>
  <c r="C22" i="35"/>
  <c r="Y32" i="12"/>
  <c r="Y33" i="12" s="1"/>
  <c r="X33" i="12"/>
  <c r="C19" i="35" l="1"/>
  <c r="C35" i="13"/>
  <c r="D19" i="35" s="1"/>
  <c r="B34" i="17"/>
  <c r="D22" i="35"/>
  <c r="B51" i="12"/>
  <c r="C51" i="12" l="1"/>
  <c r="D15" i="34" s="1"/>
  <c r="C15" i="34"/>
  <c r="C35" i="39"/>
  <c r="C35" i="20"/>
  <c r="D23" i="18"/>
</calcChain>
</file>

<file path=xl/sharedStrings.xml><?xml version="1.0" encoding="utf-8"?>
<sst xmlns="http://schemas.openxmlformats.org/spreadsheetml/2006/main" count="896" uniqueCount="532">
  <si>
    <t>Параметры прогноза доходов</t>
  </si>
  <si>
    <t>Параметры Ценообразования</t>
  </si>
  <si>
    <t>Бизнес направления</t>
  </si>
  <si>
    <t>Единицы измерения</t>
  </si>
  <si>
    <t>Цены, руб.</t>
  </si>
  <si>
    <t>Параметры объема продаж</t>
  </si>
  <si>
    <t>Прогноз продаж</t>
  </si>
  <si>
    <t>Итого</t>
  </si>
  <si>
    <t>Объем продаж в натуральном выражении в месяц</t>
  </si>
  <si>
    <t>Объем продаж в месяц в денежном выражении при 100% загрузке</t>
  </si>
  <si>
    <t>Объем продаж в квартал в денежном выражении при 100% загрузке</t>
  </si>
  <si>
    <t>Прогноз выхода на плановую мощность</t>
  </si>
  <si>
    <t>1 кв.</t>
  </si>
  <si>
    <t>2 кв.</t>
  </si>
  <si>
    <t>3 кв.</t>
  </si>
  <si>
    <t>4 кв.</t>
  </si>
  <si>
    <t>5 кв.</t>
  </si>
  <si>
    <t>6 кв.</t>
  </si>
  <si>
    <t>7 кв.</t>
  </si>
  <si>
    <t>8 кв.</t>
  </si>
  <si>
    <t>9 кв.</t>
  </si>
  <si>
    <t>10 кв.</t>
  </si>
  <si>
    <t>11 кв.</t>
  </si>
  <si>
    <t>12 кв.</t>
  </si>
  <si>
    <t>13 кв.</t>
  </si>
  <si>
    <t>14 кв.</t>
  </si>
  <si>
    <t>15 кв.</t>
  </si>
  <si>
    <t>16 кв.</t>
  </si>
  <si>
    <t>17 кв.</t>
  </si>
  <si>
    <t>18 кв.</t>
  </si>
  <si>
    <t>19 кв.</t>
  </si>
  <si>
    <t>20 кв.</t>
  </si>
  <si>
    <t>Область диаграмм</t>
  </si>
  <si>
    <t>Среднее</t>
  </si>
  <si>
    <t>1 год</t>
  </si>
  <si>
    <t>2 год</t>
  </si>
  <si>
    <t>3 год</t>
  </si>
  <si>
    <t>4 год</t>
  </si>
  <si>
    <t>5 год</t>
  </si>
  <si>
    <t>За год при 100% загрузке</t>
  </si>
  <si>
    <t>Параметры прогноза расходов</t>
  </si>
  <si>
    <t>Параметры переменных расходов</t>
  </si>
  <si>
    <t>Доля переменных расходов в цене продажи, %</t>
  </si>
  <si>
    <t>Переменные расходы</t>
  </si>
  <si>
    <t>Параметры постоянных расходов</t>
  </si>
  <si>
    <t>Статья расходов</t>
  </si>
  <si>
    <t>Единица измерения</t>
  </si>
  <si>
    <t>Заработная плата</t>
  </si>
  <si>
    <t>на весь персонал</t>
  </si>
  <si>
    <t>Вода</t>
  </si>
  <si>
    <t>Хозяйственные расходы</t>
  </si>
  <si>
    <t>Канцелярские расходы</t>
  </si>
  <si>
    <t>Маркетинг и реклама</t>
  </si>
  <si>
    <t>Телефон</t>
  </si>
  <si>
    <t>Интернет</t>
  </si>
  <si>
    <t>Прочие расходы</t>
  </si>
  <si>
    <t>Параметры штатного расписания</t>
  </si>
  <si>
    <t>Наименование должности</t>
  </si>
  <si>
    <t>Количество</t>
  </si>
  <si>
    <t>Суммарная оплата</t>
  </si>
  <si>
    <t>Налоги на зп</t>
  </si>
  <si>
    <t>Итого:</t>
  </si>
  <si>
    <t>Налоговая нагрузка на ФОТ</t>
  </si>
  <si>
    <t>Ставка налога на з/п</t>
  </si>
  <si>
    <t>Итого налоговая нагрузка на ФОТ</t>
  </si>
  <si>
    <t>Постоянные расходы</t>
  </si>
  <si>
    <t>Итого расходы</t>
  </si>
  <si>
    <t>Значение в месяц</t>
  </si>
  <si>
    <t>Сумма в квартал</t>
  </si>
  <si>
    <t>Прогноз Расходов</t>
  </si>
  <si>
    <t>Объем расходов при 100% загрузке в квартал</t>
  </si>
  <si>
    <t>Объем расходов при 100% загрузке в год</t>
  </si>
  <si>
    <t>Прогноз Инвестиций</t>
  </si>
  <si>
    <t>Параметры плана инвестиционных вложений</t>
  </si>
  <si>
    <t>Статьи инвестиций</t>
  </si>
  <si>
    <t>Сумма, руб.</t>
  </si>
  <si>
    <t>Покупка автотранспортных средств</t>
  </si>
  <si>
    <t>Подготовительные работы</t>
  </si>
  <si>
    <t>Оборотный капитал</t>
  </si>
  <si>
    <t>Значение</t>
  </si>
  <si>
    <t>Стоимость 1 кв м, руб</t>
  </si>
  <si>
    <t>Объем инвестиций в оборудование</t>
  </si>
  <si>
    <t>Расчет инвестиций в автотранспортные средства</t>
  </si>
  <si>
    <t>Количество автотранспортных средств, шт</t>
  </si>
  <si>
    <t>Стоимость 1 шт, руб</t>
  </si>
  <si>
    <t>Площадь административных помещений, кв. м</t>
  </si>
  <si>
    <t>Расчет инвестиций на подготовительные работы</t>
  </si>
  <si>
    <t>Затраты на подготовительные работы, руб.</t>
  </si>
  <si>
    <t>Расчет инвестиций на первоначальные маркетинговые инициативы</t>
  </si>
  <si>
    <t>Затраты на первоначальный маркетинг, руб.</t>
  </si>
  <si>
    <t>Стоимость мебели и оргтехники, руб.</t>
  </si>
  <si>
    <t>Стоимость автотранспортных средств, руб.</t>
  </si>
  <si>
    <t>Расчет потребности в оборотных средствах</t>
  </si>
  <si>
    <t>Инвестиции в переменные расходы</t>
  </si>
  <si>
    <t>Инвестиции в постоянные расходы</t>
  </si>
  <si>
    <t xml:space="preserve">Процент расходов в цене, % </t>
  </si>
  <si>
    <t>График закупки, % от 100% объема продаж</t>
  </si>
  <si>
    <t>Себестоимость при 100% загрузке</t>
  </si>
  <si>
    <t>График загрузки по постоянным расходам</t>
  </si>
  <si>
    <t>Статьи расходов</t>
  </si>
  <si>
    <t>График распределения инвестиционных затрат по статьям инвестиций</t>
  </si>
  <si>
    <t>Сумма</t>
  </si>
  <si>
    <t>1 мес.</t>
  </si>
  <si>
    <t>2 мес.</t>
  </si>
  <si>
    <t>3 мес.</t>
  </si>
  <si>
    <t>4 мес.</t>
  </si>
  <si>
    <t>5 мес.</t>
  </si>
  <si>
    <t>6 мес.</t>
  </si>
  <si>
    <t>Инвестиционный график</t>
  </si>
  <si>
    <t>1 кв</t>
  </si>
  <si>
    <t>2 кв</t>
  </si>
  <si>
    <t>Инвестиции</t>
  </si>
  <si>
    <t>Инвестиции накопленным итогом</t>
  </si>
  <si>
    <t>Источники финансирования</t>
  </si>
  <si>
    <t>Справочно: план инвестиций</t>
  </si>
  <si>
    <t>Собственные средства в основные инвестиции</t>
  </si>
  <si>
    <t>Кредит</t>
  </si>
  <si>
    <t>Структура финансирования основных средств проекта в денежном выражении</t>
  </si>
  <si>
    <t>Условия обслуживания кредита</t>
  </si>
  <si>
    <t>Процентная ставка, % год</t>
  </si>
  <si>
    <t>Срок кредита, лет</t>
  </si>
  <si>
    <t>Отсрочка по телу кредита, лет</t>
  </si>
  <si>
    <t>Отсрочка по процентам, лет</t>
  </si>
  <si>
    <t>Сумма кредита</t>
  </si>
  <si>
    <t>Период возврата тела кредита, лет</t>
  </si>
  <si>
    <t>Индикатор по возврату кредита</t>
  </si>
  <si>
    <t>Индикатор по уплате процентов</t>
  </si>
  <si>
    <t>График возврата кредита</t>
  </si>
  <si>
    <t>Возврат тела кредита</t>
  </si>
  <si>
    <t>Уплата процентов</t>
  </si>
  <si>
    <t>Запас денежных средств на уплату процентов на первые 12 месяцев</t>
  </si>
  <si>
    <t>Доходы</t>
  </si>
  <si>
    <t>Расходы</t>
  </si>
  <si>
    <t>Налоги</t>
  </si>
  <si>
    <t>Итого наличные денежные средства</t>
  </si>
  <si>
    <t>Наличие кассового разрыва</t>
  </si>
  <si>
    <t>Накопленным итогом</t>
  </si>
  <si>
    <t>Прогноз налогов</t>
  </si>
  <si>
    <t>Отчет о Финансовых результатах</t>
  </si>
  <si>
    <t>Имущсество на балансе</t>
  </si>
  <si>
    <t>Амортизируемое имущество</t>
  </si>
  <si>
    <t>Срок амортизации, лет</t>
  </si>
  <si>
    <t>Сумма амортизации, квартал</t>
  </si>
  <si>
    <t>Сумма амортизации</t>
  </si>
  <si>
    <t>Остаточная стоимость</t>
  </si>
  <si>
    <t>Суммарная амортизация</t>
  </si>
  <si>
    <t>Расчет амортизации и имущества на балансе</t>
  </si>
  <si>
    <t>Доля самортизированного имущества</t>
  </si>
  <si>
    <t>Параметры Амортизации</t>
  </si>
  <si>
    <t>Параметры Налогов</t>
  </si>
  <si>
    <t>Налог на прибыль</t>
  </si>
  <si>
    <t>Налог на имущество</t>
  </si>
  <si>
    <t>НДС</t>
  </si>
  <si>
    <t>Налог на землю</t>
  </si>
  <si>
    <t>Ставка</t>
  </si>
  <si>
    <t>База</t>
  </si>
  <si>
    <t>От прибыли</t>
  </si>
  <si>
    <t>От имущества на балансе</t>
  </si>
  <si>
    <t>Когда</t>
  </si>
  <si>
    <t>ежеквартально</t>
  </si>
  <si>
    <t>раз в год</t>
  </si>
  <si>
    <t>Квартальная ставка</t>
  </si>
  <si>
    <t>Уплата НДС</t>
  </si>
  <si>
    <t>Выручка</t>
  </si>
  <si>
    <t>НДС начисленный</t>
  </si>
  <si>
    <t>НДС к возмещению</t>
  </si>
  <si>
    <t>Уплата налога на прибыль</t>
  </si>
  <si>
    <t>Уплата налога на имущество</t>
  </si>
  <si>
    <t>Имущество на балансе</t>
  </si>
  <si>
    <t>Уплата налога на землю</t>
  </si>
  <si>
    <t>Стоимость земли</t>
  </si>
  <si>
    <t>Маржинальная прибыль</t>
  </si>
  <si>
    <t>EBITDA</t>
  </si>
  <si>
    <t>Проценты по кредиту</t>
  </si>
  <si>
    <t>Амортизация</t>
  </si>
  <si>
    <t>Прибыль</t>
  </si>
  <si>
    <t>Чистая прибыль</t>
  </si>
  <si>
    <t>Диаграммы</t>
  </si>
  <si>
    <t>Чистая Прибыль</t>
  </si>
  <si>
    <t>Уплата налогов</t>
  </si>
  <si>
    <t>Доля налогов в выручке</t>
  </si>
  <si>
    <t>Параметры финансирования</t>
  </si>
  <si>
    <t>Процентная ставка, % в квартал</t>
  </si>
  <si>
    <t>Ежеквартальный платеж (тело кредита)</t>
  </si>
  <si>
    <t>Запас денег на покрытие кассовых разрывов</t>
  </si>
  <si>
    <t>Собственные средства на уплату процентов и покрытие кассовых разрывов</t>
  </si>
  <si>
    <t>Покрытие кассовых разрывов и уплата процентов</t>
  </si>
  <si>
    <t>Собственные средства в основные активы</t>
  </si>
  <si>
    <t>Собственные средства на покрытие кассовых разрывов</t>
  </si>
  <si>
    <t>Инвестиции в основные средства</t>
  </si>
  <si>
    <t>Собственные средства</t>
  </si>
  <si>
    <t>Структура финансирования основных активов</t>
  </si>
  <si>
    <t>График финансирования и обслуживания кредита</t>
  </si>
  <si>
    <t>Поступления</t>
  </si>
  <si>
    <t>Выбытия</t>
  </si>
  <si>
    <t>Легенда</t>
  </si>
  <si>
    <t>Отчет о Движении Денежных Средств</t>
  </si>
  <si>
    <t>Операционная деятельность</t>
  </si>
  <si>
    <t>Доход с продаж</t>
  </si>
  <si>
    <t>Итого по операционной деятельности</t>
  </si>
  <si>
    <t>Инвестиционная деятельность</t>
  </si>
  <si>
    <t>Вложения учредителей</t>
  </si>
  <si>
    <t>Инвестиции в бизнес</t>
  </si>
  <si>
    <t>Итого по инвестиционной деятельности</t>
  </si>
  <si>
    <t>Финансовая деятельность</t>
  </si>
  <si>
    <t>Получение кредита</t>
  </si>
  <si>
    <t>Итого по финансовой деятельности</t>
  </si>
  <si>
    <t>Итого денежный поток по проекту</t>
  </si>
  <si>
    <t>Денежный средства на начало периода</t>
  </si>
  <si>
    <t>Денежный средства на конец периода</t>
  </si>
  <si>
    <t>Прогноз расходов</t>
  </si>
  <si>
    <t>Прогноз переменных расходов</t>
  </si>
  <si>
    <t>Прогноз постоянных расходов</t>
  </si>
  <si>
    <t>Наличие или отсутствие кассовых разрывов</t>
  </si>
  <si>
    <t>Возврат инвестиций</t>
  </si>
  <si>
    <t>Вложения инвестора</t>
  </si>
  <si>
    <t xml:space="preserve">Итого инвестиций </t>
  </si>
  <si>
    <t>Денежный поток от операционной деятельности</t>
  </si>
  <si>
    <t>Итого прибыль</t>
  </si>
  <si>
    <t>Уплата процентов по кредиту</t>
  </si>
  <si>
    <t>Итого затраты на финансирование</t>
  </si>
  <si>
    <t>Итого свободный денежный поток</t>
  </si>
  <si>
    <t>Денежный поток собственнику бизнеса</t>
  </si>
  <si>
    <t>Денежный поток на обслуживание долга</t>
  </si>
  <si>
    <t>Итого возврат инвестиций за 5 лет</t>
  </si>
  <si>
    <t>Вложения в проект</t>
  </si>
  <si>
    <t>Поступления от проекта</t>
  </si>
  <si>
    <t>Срок окупаемости</t>
  </si>
  <si>
    <t>Анализ инвестиционных показателей для инвестора</t>
  </si>
  <si>
    <t>Денеженый поток инвестора</t>
  </si>
  <si>
    <t>Ставка дисконтирования для инвестора</t>
  </si>
  <si>
    <t>Денежный поток за последний год</t>
  </si>
  <si>
    <t>ЧДД за 5 лет</t>
  </si>
  <si>
    <t>Денежный поток с учетом продажи бизнеса в конце</t>
  </si>
  <si>
    <t>ЧДД с учетом продажи бизнеса</t>
  </si>
  <si>
    <t>ВНД за 5 лет</t>
  </si>
  <si>
    <t>ВНД с учетом продажи бизнеса</t>
  </si>
  <si>
    <t>Ставка в квартал</t>
  </si>
  <si>
    <t>Стоимость создаваемого бизнеса в конце срока планирования</t>
  </si>
  <si>
    <t>квартал</t>
  </si>
  <si>
    <t>год</t>
  </si>
  <si>
    <t>Для расчета срока окупаемости</t>
  </si>
  <si>
    <t>Квартал</t>
  </si>
  <si>
    <t>Год</t>
  </si>
  <si>
    <t>Для расчета ставки дисконтирования</t>
  </si>
  <si>
    <t>Доля собственных средств</t>
  </si>
  <si>
    <t>Доля кредитных средств</t>
  </si>
  <si>
    <t>Требования к доходности собственных средств</t>
  </si>
  <si>
    <t>Процент по кредиту</t>
  </si>
  <si>
    <t>WACC</t>
  </si>
  <si>
    <t>ЧДД с учетом продажи бизнеса в конце</t>
  </si>
  <si>
    <t>ВНД с учетом продажи бизнеса в конце</t>
  </si>
  <si>
    <t>Продажи</t>
  </si>
  <si>
    <t>Доля</t>
  </si>
  <si>
    <t>Процент распределения постоянных затрат по бизнес направлениям (без кредита)</t>
  </si>
  <si>
    <t>Прибыль в разрезе бизнес направлений</t>
  </si>
  <si>
    <t>Постоянные расходы+Налоги</t>
  </si>
  <si>
    <t>Точка безубыточности</t>
  </si>
  <si>
    <t>ЧДД</t>
  </si>
  <si>
    <t>Для расчета точки безубыточности</t>
  </si>
  <si>
    <t>Инвестиции и финансирование проекта</t>
  </si>
  <si>
    <t>Инвестиций всего</t>
  </si>
  <si>
    <t>Инвестиции собственника бизнеса</t>
  </si>
  <si>
    <t>В бизнес</t>
  </si>
  <si>
    <t>Процентная ставка</t>
  </si>
  <si>
    <t>Срок кредита</t>
  </si>
  <si>
    <t>Отсрочка по уплате тела кредита</t>
  </si>
  <si>
    <t>Отсрочка по уплате процентов</t>
  </si>
  <si>
    <t>Анализ рентабельности</t>
  </si>
  <si>
    <t>Рентабельность продаж (Прибыль к Выручке)</t>
  </si>
  <si>
    <t>Рентабельность активов (Прибыль к Инвестициям)</t>
  </si>
  <si>
    <t>Маржинальность бизнеса (Маржа к Выручке)</t>
  </si>
  <si>
    <t>Инвестиционный анализ</t>
  </si>
  <si>
    <t>ВНД</t>
  </si>
  <si>
    <t>Резюме</t>
  </si>
  <si>
    <t>Чистая прибыль, год</t>
  </si>
  <si>
    <t>Маржинальная прибыль, год</t>
  </si>
  <si>
    <t>Расходы, год</t>
  </si>
  <si>
    <t>Выручка, год</t>
  </si>
  <si>
    <t>На покрытие кассовых разрывов на первый год</t>
  </si>
  <si>
    <t>Срок окупаемости, лет</t>
  </si>
  <si>
    <t>Анализ чувствительности</t>
  </si>
  <si>
    <t>Проведение анализа чувствительности</t>
  </si>
  <si>
    <t>Объем продаж в квартал</t>
  </si>
  <si>
    <t>Объем продаж в год</t>
  </si>
  <si>
    <t>Коэффициент</t>
  </si>
  <si>
    <t>Объем расходов в квартал</t>
  </si>
  <si>
    <t>Объем расходов в год</t>
  </si>
  <si>
    <t>Объем инвестиций</t>
  </si>
  <si>
    <t>Налоговые отчисления</t>
  </si>
  <si>
    <t>Кредитная нагрузка</t>
  </si>
  <si>
    <t>Доходы минус расходы</t>
  </si>
  <si>
    <t>Доходы минус расходы минус налоги</t>
  </si>
  <si>
    <t>Доходы минус расходы минус налоги минус кредитная нагрузка</t>
  </si>
  <si>
    <t>Маржа</t>
  </si>
  <si>
    <t>Запас прочности чистой прибыли</t>
  </si>
  <si>
    <t>По объему продаж или цене продажи</t>
  </si>
  <si>
    <t>По себестоимости</t>
  </si>
  <si>
    <t>По постоянным расходам</t>
  </si>
  <si>
    <t>По кредитной нагрузке</t>
  </si>
  <si>
    <t>С учетом кредитной нагрузки</t>
  </si>
  <si>
    <t>Запас прочности по параметрам продаж</t>
  </si>
  <si>
    <t>Запас прочности по себестоимости</t>
  </si>
  <si>
    <t>По продажам в целом</t>
  </si>
  <si>
    <t>По себестоимости в целом</t>
  </si>
  <si>
    <t>Запас прочности по ценам и объему продаж</t>
  </si>
  <si>
    <t>Запас прочности по постоянным расходам</t>
  </si>
  <si>
    <t>Запас прочности по кредитной нагрузке</t>
  </si>
  <si>
    <t>Не может быть больше</t>
  </si>
  <si>
    <t>В процентах</t>
  </si>
  <si>
    <t>В денежном выражении</t>
  </si>
  <si>
    <t>Точка безубыточности в денежном выражении</t>
  </si>
  <si>
    <t>Точка безубыточности, в денежном выражении</t>
  </si>
  <si>
    <t>С учетом кредитной нугрузки</t>
  </si>
  <si>
    <t>Максимальная кредитная нагрузка</t>
  </si>
  <si>
    <t>Точка безубыточности с учетом кредита</t>
  </si>
  <si>
    <t>Точка безубыточности без кредита, %</t>
  </si>
  <si>
    <t>В каком квартале начинаем возвращать кредит</t>
  </si>
  <si>
    <t>Точка безубыточности с кредитом, %</t>
  </si>
  <si>
    <t>Стратегические цели</t>
  </si>
  <si>
    <t>Планируется достичь следующие стратегические цели</t>
  </si>
  <si>
    <t>Цель</t>
  </si>
  <si>
    <t>Создать бизнес стоимостью</t>
  </si>
  <si>
    <t>За 5 лет работы достичь следующих целей</t>
  </si>
  <si>
    <t>Чистая прибыль в год</t>
  </si>
  <si>
    <t>Значение ЧДД на уровне</t>
  </si>
  <si>
    <t>Значение ВНД на уровне</t>
  </si>
  <si>
    <t>Срок достижения уровня безубыточности, кв.</t>
  </si>
  <si>
    <t>Срок возврата инвестиций, лет</t>
  </si>
  <si>
    <t>Срок расчета с кредитом, лет</t>
  </si>
  <si>
    <t>Достичь следующих инвестиционных показателей</t>
  </si>
  <si>
    <t>Срок достижения 90% загрузки, кв.</t>
  </si>
  <si>
    <t>Процессы и штатное расписание</t>
  </si>
  <si>
    <t>Генеральный директор</t>
  </si>
  <si>
    <t>Главный бухгалтер</t>
  </si>
  <si>
    <t>Производственный персонал</t>
  </si>
  <si>
    <t>Руководитель отдела продаж</t>
  </si>
  <si>
    <t>Менеджер по продажам</t>
  </si>
  <si>
    <t>Заработная плата + Налоги</t>
  </si>
  <si>
    <t>Результаты</t>
  </si>
  <si>
    <t>План инвестиций</t>
  </si>
  <si>
    <t>№1</t>
  </si>
  <si>
    <t>№2</t>
  </si>
  <si>
    <t>Параметры</t>
  </si>
  <si>
    <t>Финансирование</t>
  </si>
  <si>
    <t>Параметр</t>
  </si>
  <si>
    <t>В месяц</t>
  </si>
  <si>
    <t>В квартал</t>
  </si>
  <si>
    <t>В год</t>
  </si>
  <si>
    <t>При 100% загрузке</t>
  </si>
  <si>
    <t>Объем продаж</t>
  </si>
  <si>
    <t>Продажи_2</t>
  </si>
  <si>
    <t>Продажи_1</t>
  </si>
  <si>
    <t>Продажи_3</t>
  </si>
  <si>
    <t>Итого 2 год</t>
  </si>
  <si>
    <t>Итого 3 год</t>
  </si>
  <si>
    <t>Итого 4 год</t>
  </si>
  <si>
    <t>Итого 5 год</t>
  </si>
  <si>
    <t>Итого 1 год</t>
  </si>
  <si>
    <t>Продажи_4</t>
  </si>
  <si>
    <t>Расходы_1</t>
  </si>
  <si>
    <t>Расходы_2</t>
  </si>
  <si>
    <t>руб. в мес.</t>
  </si>
  <si>
    <t>Расходы_3</t>
  </si>
  <si>
    <t>Расходы_4</t>
  </si>
  <si>
    <t>Налоги_1</t>
  </si>
  <si>
    <t>Сумма за год</t>
  </si>
  <si>
    <t>ОДДС_1</t>
  </si>
  <si>
    <t>ОПИУ_1</t>
  </si>
  <si>
    <t>За 5 лет</t>
  </si>
  <si>
    <t>за 5 лет</t>
  </si>
  <si>
    <t>Возврат инвестору_1</t>
  </si>
  <si>
    <t>Инвест_анализ_1</t>
  </si>
  <si>
    <t>Денежный поток проекта</t>
  </si>
  <si>
    <t>Финансовый анализ_1</t>
  </si>
  <si>
    <t>Выводы</t>
  </si>
  <si>
    <t>Показатель</t>
  </si>
  <si>
    <t>Листы с параметрами</t>
  </si>
  <si>
    <t>Листы с отчетами</t>
  </si>
  <si>
    <t>Центры прибыли</t>
  </si>
  <si>
    <t>Для вставки в ворд</t>
  </si>
  <si>
    <t>Финансовый анализ</t>
  </si>
  <si>
    <t>Процессы</t>
  </si>
  <si>
    <t>ОДДС</t>
  </si>
  <si>
    <t>Параметы Налоги</t>
  </si>
  <si>
    <t>Параметры финансирование</t>
  </si>
  <si>
    <t>Параметры инвестиции</t>
  </si>
  <si>
    <t>Параметры Расходы</t>
  </si>
  <si>
    <t>Параметры Доходы</t>
  </si>
  <si>
    <t>Риски</t>
  </si>
  <si>
    <t>Инвест анализ</t>
  </si>
  <si>
    <t>Возврат инвестору</t>
  </si>
  <si>
    <t>ОПИУ</t>
  </si>
  <si>
    <t>Без учета кредитной нагрузки</t>
  </si>
  <si>
    <t>руб./шт.</t>
  </si>
  <si>
    <t>Площадь помещения, кв. м</t>
  </si>
  <si>
    <t>шт.</t>
  </si>
  <si>
    <t>Стоимость аренды 1 кв м, руб</t>
  </si>
  <si>
    <t>Аренда</t>
  </si>
  <si>
    <t>Объем продаж в месяц в натуральном выражении, шт.</t>
  </si>
  <si>
    <t>Юрист</t>
  </si>
  <si>
    <t>Системный администратор</t>
  </si>
  <si>
    <t>Специалист по закупке</t>
  </si>
  <si>
    <t xml:space="preserve">Уборщица </t>
  </si>
  <si>
    <t>Энергия</t>
  </si>
  <si>
    <t>Вывоз ТБО</t>
  </si>
  <si>
    <t>1 % от постоянных расходов</t>
  </si>
  <si>
    <t>Программное обеспечение</t>
  </si>
  <si>
    <t>0,5 % от постоянных расходов</t>
  </si>
  <si>
    <t>Стоимость аренды помещения в месяц, руб</t>
  </si>
  <si>
    <t>Расчет инвестиций в аренду цеха</t>
  </si>
  <si>
    <t>Расчет инвестиций в аренду офиса</t>
  </si>
  <si>
    <t>Расчет инвестиций в цех (оборудование, инструмент, мебель)</t>
  </si>
  <si>
    <t>Депозит по аренде офиса на 3 месяца</t>
  </si>
  <si>
    <t>Стоимость аренды помещения за 3 месяца, руб.</t>
  </si>
  <si>
    <t>Депозит по аренде цеха на 6 месяцев</t>
  </si>
  <si>
    <t>Стоимость аренды помещения за 6 месяцев, руб.</t>
  </si>
  <si>
    <t>Расчет инвестиций в офис (мебель и оргтехника)</t>
  </si>
  <si>
    <t>Прочие, 10% от инвестиций выше</t>
  </si>
  <si>
    <t>*</t>
  </si>
  <si>
    <t>* По отчету Центрального банка РФ</t>
  </si>
  <si>
    <t>Квартальный платеж</t>
  </si>
  <si>
    <t>№</t>
  </si>
  <si>
    <t>C15</t>
  </si>
  <si>
    <t>C21</t>
  </si>
  <si>
    <t>C38</t>
  </si>
  <si>
    <t>Лист</t>
  </si>
  <si>
    <t>Параметры доходы</t>
  </si>
  <si>
    <t>Парметры Расходы</t>
  </si>
  <si>
    <t>С47-С49</t>
  </si>
  <si>
    <t>С50-С54</t>
  </si>
  <si>
    <t>Равна количеству офисного персонала умноженного на 1000 руб.</t>
  </si>
  <si>
    <t>F15-Y15</t>
  </si>
  <si>
    <t>А63-А76</t>
  </si>
  <si>
    <t>В63-В76</t>
  </si>
  <si>
    <t>С63-С76</t>
  </si>
  <si>
    <t>B80</t>
  </si>
  <si>
    <t>Ячейки</t>
  </si>
  <si>
    <t>Ставка страховых взносов в ПФ в России</t>
  </si>
  <si>
    <t>Площадь цеха</t>
  </si>
  <si>
    <t>В40</t>
  </si>
  <si>
    <t>В41</t>
  </si>
  <si>
    <t>Ставка аренды цеха</t>
  </si>
  <si>
    <t>Площадь офиса</t>
  </si>
  <si>
    <t>Ставка аренды офиса</t>
  </si>
  <si>
    <t>В48</t>
  </si>
  <si>
    <t>В49</t>
  </si>
  <si>
    <t>В56</t>
  </si>
  <si>
    <t>В67</t>
  </si>
  <si>
    <t>В71</t>
  </si>
  <si>
    <t>В75</t>
  </si>
  <si>
    <t>D89-I89</t>
  </si>
  <si>
    <t>График загрузки по заработной плате</t>
  </si>
  <si>
    <t>Предполагаем, что персонал начнет работать начиная со второго месяца, увеличивая численность на 25% каждый квартал до достижения 100%</t>
  </si>
  <si>
    <t>График загрузки по аренде цеха</t>
  </si>
  <si>
    <t>D104-I104</t>
  </si>
  <si>
    <t>D105-I105</t>
  </si>
  <si>
    <t>График загрузки остальными постоянными расходами</t>
  </si>
  <si>
    <t>D105-I115</t>
  </si>
  <si>
    <t>Депозит по аренде цеха</t>
  </si>
  <si>
    <t>Депозит по аренде офиса</t>
  </si>
  <si>
    <t>Предполагаем, что равен сумме аренды за 6 месяцев</t>
  </si>
  <si>
    <t>Предполагаем, что равен сумме аренды за 3 месяца</t>
  </si>
  <si>
    <t>В24</t>
  </si>
  <si>
    <t>В25</t>
  </si>
  <si>
    <t>График распределения инвестиций в аренду цеха</t>
  </si>
  <si>
    <t>График распределения инвестиций в аренду офиса</t>
  </si>
  <si>
    <t>Предполагаем, что цех будет арендован начиная с третьего месяца, а депозит разбит на две части</t>
  </si>
  <si>
    <t>Предполагаем, что офис будет арендован начиная со второго месяца, а депозит разбит на две части</t>
  </si>
  <si>
    <t>D140-I140</t>
  </si>
  <si>
    <t>D141-I141</t>
  </si>
  <si>
    <t>Предполагаем, что офис будет арендован начиная со  второго месяца, а депозит разбит на две части</t>
  </si>
  <si>
    <t>График распределения инвестиций в цех</t>
  </si>
  <si>
    <t>График распределения инвестиций в офис</t>
  </si>
  <si>
    <t>С момента аренды цеха равными долями на два месяца</t>
  </si>
  <si>
    <t>С момента аренды офиса равными долями на два месяца</t>
  </si>
  <si>
    <t>D142-I144</t>
  </si>
  <si>
    <t>D144-I144</t>
  </si>
  <si>
    <t>График распределения инвестиций в подготовительные расходы</t>
  </si>
  <si>
    <t>D145-I145</t>
  </si>
  <si>
    <t>D146-I146</t>
  </si>
  <si>
    <t>D147-I147</t>
  </si>
  <si>
    <t>D148-I148</t>
  </si>
  <si>
    <t>D148-I149</t>
  </si>
  <si>
    <t>Полностью в первый месяц</t>
  </si>
  <si>
    <t>График распределения инвестиций в маркетинг и рекламу</t>
  </si>
  <si>
    <t>График распределения инвестиций в прочие</t>
  </si>
  <si>
    <t>График распределения инвестиций в оборотный капитал</t>
  </si>
  <si>
    <t>График загрузки переменными расходами</t>
  </si>
  <si>
    <t>Со следующего месяца после аренды цеха в размере 50%</t>
  </si>
  <si>
    <t>В51</t>
  </si>
  <si>
    <t>Исходя изналичия совственных средств</t>
  </si>
  <si>
    <t>Процентная ставка по заемным средствам, % год</t>
  </si>
  <si>
    <t>В63</t>
  </si>
  <si>
    <t>Расчитывается исходя из средневзвешенной ставки кредитования в РФ и размера ставки Рефинансирования Центрального банка РФ</t>
  </si>
  <si>
    <t>В64</t>
  </si>
  <si>
    <t>В65</t>
  </si>
  <si>
    <t>В66</t>
  </si>
  <si>
    <t>Предполагаем, что срок редита равен 5 годам</t>
  </si>
  <si>
    <t>По умолчанию не предоставляется</t>
  </si>
  <si>
    <t>В27-В34</t>
  </si>
  <si>
    <t>Предполагаем, что сумма инвестиций будет постепенно возвращаться и приравниваем ее к амортизируемому имуществу</t>
  </si>
  <si>
    <t>Допущение</t>
  </si>
  <si>
    <t>В59-В60</t>
  </si>
  <si>
    <t>Покупка автотрансопортных стредств изначально не предполагается, будет производиться исходя из потребности</t>
  </si>
  <si>
    <t>Равны затратам на подготовительные расходы</t>
  </si>
  <si>
    <t>В соответствии c изменением численности персонала</t>
  </si>
  <si>
    <t>Параметры Амортизация</t>
  </si>
  <si>
    <t>Предполагаемая величина на вложения в цех</t>
  </si>
  <si>
    <t>В35</t>
  </si>
  <si>
    <t>Рассчитано в  в ТЭО, исходя из рентабельности продаж 7,3%</t>
  </si>
  <si>
    <t>Рассчитано в ТЭО</t>
  </si>
  <si>
    <t>Прогноз выхода на полную мощность</t>
  </si>
  <si>
    <t>Рассчитывыется исходя из себестоимости (ТЭО)</t>
  </si>
  <si>
    <t>HRBR</t>
  </si>
  <si>
    <t xml:space="preserve">Рассчитанов в ТЭО </t>
  </si>
  <si>
    <t>Взято из ТЭО</t>
  </si>
  <si>
    <t>Взято из ТЭО из ТЭО</t>
  </si>
  <si>
    <t xml:space="preserve">Взято из ТЭО </t>
  </si>
  <si>
    <t xml:space="preserve">Рассчитано в ТЭО </t>
  </si>
  <si>
    <t>В61</t>
  </si>
  <si>
    <t>Объем инвестиций в транспортные средства</t>
  </si>
  <si>
    <t>Необходимый запас денежных средств</t>
  </si>
  <si>
    <t>Средневзвешенная ставка кредитования субьектов малого и среднего предпринимательства в январе 2024</t>
  </si>
  <si>
    <t>январь 2024 г.</t>
  </si>
  <si>
    <t>февраль 2024 г.</t>
  </si>
  <si>
    <t>март 2024 г.</t>
  </si>
  <si>
    <t>Средняя ставка</t>
  </si>
  <si>
    <t>Ставка рефинансирования ЦБ РФ</t>
  </si>
  <si>
    <t>Предполагаем, что продукция начнет выпускаться во втором квартале в размере 60% от полной загрузки и далее будет увеличиваться на 10% в квартал</t>
  </si>
  <si>
    <t>С момента аренды цеха равными долями на четыре месяца</t>
  </si>
  <si>
    <t>Печь "ХЛЕБОПЕЧКА"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</si>
</sst>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0"/>
      <name val="Arial"/>
      <family val="2"/>
      <charset val="204"/>
    </font>
    <font>
      <sz val="11"/>
      <name val="Arial"/>
      <family val="2"/>
      <charset val="204"/>
    </font>
    <font>
      <b/>
      <sz val="20"/>
      <color theme="2" tint="-0.749992370372631"/>
      <name val="Arial"/>
      <family val="2"/>
      <charset val="204"/>
    </font>
    <font>
      <b/>
      <sz val="20"/>
      <color theme="6" tint="-0.249977111117893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20"/>
      <color theme="8" tint="-0.249977111117893"/>
      <name val="Arial"/>
      <family val="2"/>
      <charset val="204"/>
    </font>
    <font>
      <i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16"/>
      <color theme="6" tint="-0.249977111117893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4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11"/>
      <name val="Arial"/>
      <family val="2"/>
      <charset val="204"/>
    </font>
    <font>
      <sz val="18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8"/>
      <color theme="0"/>
      <name val="Arial"/>
      <family val="2"/>
      <charset val="204"/>
    </font>
    <font>
      <i/>
      <sz val="9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24"/>
      <color theme="0"/>
      <name val="Arial"/>
      <family val="2"/>
      <charset val="204"/>
    </font>
    <font>
      <sz val="16"/>
      <color theme="1"/>
      <name val="Arial"/>
      <family val="2"/>
      <charset val="204"/>
    </font>
    <font>
      <sz val="16"/>
      <color theme="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  <charset val="204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Arial"/>
      <family val="2"/>
      <charset val="204"/>
    </font>
    <font>
      <b/>
      <sz val="12"/>
      <color theme="1"/>
      <name val="Century Gothic"/>
      <family val="2"/>
      <charset val="204"/>
    </font>
    <font>
      <sz val="12"/>
      <color theme="1"/>
      <name val="Century Gothic"/>
      <family val="2"/>
      <charset val="204"/>
    </font>
    <font>
      <i/>
      <sz val="12"/>
      <color theme="1"/>
      <name val="Century Gothic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theme="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E5F1"/>
        <bgColor indexed="64"/>
      </patternFill>
    </fill>
  </fills>
  <borders count="5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/>
      <right/>
      <top style="double">
        <color theme="6" tint="-0.24994659260841701"/>
      </top>
      <bottom/>
      <diagonal/>
    </border>
    <border>
      <left/>
      <right/>
      <top style="double">
        <color theme="2" tint="-0.749961851863155"/>
      </top>
      <bottom/>
      <diagonal/>
    </border>
    <border>
      <left/>
      <right/>
      <top style="double">
        <color theme="2" tint="-0.749961851863155"/>
      </top>
      <bottom style="thick">
        <color auto="1"/>
      </bottom>
      <diagonal/>
    </border>
    <border>
      <left/>
      <right/>
      <top/>
      <bottom style="double">
        <color theme="2" tint="-0.749961851863155"/>
      </bottom>
      <diagonal/>
    </border>
    <border>
      <left/>
      <right/>
      <top style="double">
        <color theme="8" tint="-0.24994659260841701"/>
      </top>
      <bottom/>
      <diagonal/>
    </border>
    <border>
      <left/>
      <right/>
      <top/>
      <bottom style="double">
        <color theme="8" tint="-0.24994659260841701"/>
      </bottom>
      <diagonal/>
    </border>
    <border>
      <left/>
      <right/>
      <top style="double">
        <color theme="8" tint="-0.24994659260841701"/>
      </top>
      <bottom style="thick">
        <color theme="8" tint="-0.24994659260841701"/>
      </bottom>
      <diagonal/>
    </border>
    <border>
      <left/>
      <right style="thick">
        <color theme="8" tint="-0.24994659260841701"/>
      </right>
      <top style="double">
        <color theme="8" tint="-0.24994659260841701"/>
      </top>
      <bottom style="thick">
        <color theme="8" tint="-0.24994659260841701"/>
      </bottom>
      <diagonal/>
    </border>
    <border>
      <left/>
      <right style="thick">
        <color theme="2" tint="-0.749961851863155"/>
      </right>
      <top style="double">
        <color theme="2" tint="-0.749961851863155"/>
      </top>
      <bottom style="thick">
        <color auto="1"/>
      </bottom>
      <diagonal/>
    </border>
    <border>
      <left/>
      <right style="thick">
        <color theme="6" tint="-0.24994659260841701"/>
      </right>
      <top style="double">
        <color theme="6" tint="-0.24994659260841701"/>
      </top>
      <bottom style="thick">
        <color theme="6" tint="-0.24994659260841701"/>
      </bottom>
      <diagonal/>
    </border>
    <border>
      <left/>
      <right/>
      <top style="double">
        <color theme="6" tint="-0.24994659260841701"/>
      </top>
      <bottom style="thick">
        <color theme="6" tint="-0.24994659260841701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double">
        <color theme="6" tint="-0.24994659260841701"/>
      </bottom>
      <diagonal/>
    </border>
    <border>
      <left style="hair">
        <color theme="6" tint="-0.24994659260841701"/>
      </left>
      <right style="hair">
        <color theme="6" tint="-0.24994659260841701"/>
      </right>
      <top/>
      <bottom style="double">
        <color theme="6" tint="-0.24994659260841701"/>
      </bottom>
      <diagonal/>
    </border>
    <border>
      <left style="dashed">
        <color theme="0" tint="-0.499984740745262"/>
      </left>
      <right/>
      <top/>
      <bottom style="dashed">
        <color theme="0" tint="-0.499984740745262"/>
      </bottom>
      <diagonal/>
    </border>
    <border>
      <left/>
      <right style="thick">
        <color theme="2" tint="-0.749961851863155"/>
      </right>
      <top style="double">
        <color theme="2" tint="-0.749961851863155"/>
      </top>
      <bottom style="thick">
        <color theme="2" tint="-0.749961851863155"/>
      </bottom>
      <diagonal/>
    </border>
    <border>
      <left/>
      <right/>
      <top style="double">
        <color theme="2" tint="-0.749961851863155"/>
      </top>
      <bottom style="thick">
        <color theme="2" tint="-0.749961851863155"/>
      </bottom>
      <diagonal/>
    </border>
    <border>
      <left style="dashed">
        <color theme="0" tint="-0.499984740745262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4506668294322"/>
      </bottom>
      <diagonal/>
    </border>
    <border>
      <left/>
      <right/>
      <top style="thin">
        <color theme="3" tint="0.39991454817346722"/>
      </top>
      <bottom style="thin">
        <color theme="3" tint="0.399945066682943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4506668294322"/>
      </bottom>
      <diagonal/>
    </border>
    <border>
      <left/>
      <right style="thin">
        <color theme="3" tint="0.399914548173467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4506668294322"/>
      </top>
      <bottom style="thin">
        <color theme="3" tint="0.39991454817346722"/>
      </bottom>
      <diagonal/>
    </border>
    <border>
      <left/>
      <right/>
      <top style="thin">
        <color theme="3" tint="0.399945066682943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/>
      <bottom style="medium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400">
    <xf numFmtId="0" fontId="0" fillId="0" borderId="0" xfId="0"/>
    <xf numFmtId="0" fontId="2" fillId="0" borderId="0" xfId="0" applyFont="1"/>
    <xf numFmtId="0" fontId="2" fillId="5" borderId="3" xfId="0" applyFont="1" applyFill="1" applyBorder="1"/>
    <xf numFmtId="0" fontId="2" fillId="5" borderId="0" xfId="0" applyFont="1" applyFill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wrapText="1"/>
    </xf>
    <xf numFmtId="0" fontId="3" fillId="5" borderId="14" xfId="0" applyFont="1" applyFill="1" applyBorder="1" applyAlignment="1">
      <alignment horizontal="left" wrapText="1"/>
    </xf>
    <xf numFmtId="0" fontId="2" fillId="5" borderId="15" xfId="0" applyFont="1" applyFill="1" applyBorder="1"/>
    <xf numFmtId="0" fontId="2" fillId="5" borderId="16" xfId="0" applyFont="1" applyFill="1" applyBorder="1"/>
    <xf numFmtId="0" fontId="3" fillId="5" borderId="0" xfId="0" applyFont="1" applyFill="1"/>
    <xf numFmtId="3" fontId="2" fillId="5" borderId="0" xfId="0" applyNumberFormat="1" applyFont="1" applyFill="1"/>
    <xf numFmtId="3" fontId="2" fillId="5" borderId="15" xfId="0" applyNumberFormat="1" applyFont="1" applyFill="1" applyBorder="1"/>
    <xf numFmtId="3" fontId="2" fillId="5" borderId="16" xfId="0" applyNumberFormat="1" applyFont="1" applyFill="1" applyBorder="1"/>
    <xf numFmtId="3" fontId="3" fillId="5" borderId="0" xfId="0" applyNumberFormat="1" applyFont="1" applyFill="1"/>
    <xf numFmtId="3" fontId="3" fillId="5" borderId="15" xfId="0" applyNumberFormat="1" applyFont="1" applyFill="1" applyBorder="1"/>
    <xf numFmtId="3" fontId="3" fillId="5" borderId="16" xfId="0" applyNumberFormat="1" applyFont="1" applyFill="1" applyBorder="1"/>
    <xf numFmtId="0" fontId="2" fillId="0" borderId="3" xfId="0" applyFont="1" applyBorder="1"/>
    <xf numFmtId="0" fontId="2" fillId="3" borderId="4" xfId="0" applyFont="1" applyFill="1" applyBorder="1"/>
    <xf numFmtId="0" fontId="2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9" fontId="2" fillId="4" borderId="0" xfId="1" applyFont="1" applyFill="1"/>
    <xf numFmtId="9" fontId="2" fillId="4" borderId="0" xfId="0" applyNumberFormat="1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9" fontId="2" fillId="3" borderId="0" xfId="0" applyNumberFormat="1" applyFont="1" applyFill="1"/>
    <xf numFmtId="0" fontId="5" fillId="3" borderId="0" xfId="0" applyFont="1" applyFill="1" applyAlignment="1">
      <alignment horizontal="center"/>
    </xf>
    <xf numFmtId="0" fontId="2" fillId="3" borderId="2" xfId="0" applyFont="1" applyFill="1" applyBorder="1"/>
    <xf numFmtId="0" fontId="2" fillId="3" borderId="6" xfId="0" applyFont="1" applyFill="1" applyBorder="1"/>
    <xf numFmtId="0" fontId="2" fillId="6" borderId="7" xfId="0" applyFont="1" applyFill="1" applyBorder="1"/>
    <xf numFmtId="0" fontId="2" fillId="6" borderId="0" xfId="0" applyFont="1" applyFill="1"/>
    <xf numFmtId="0" fontId="2" fillId="6" borderId="8" xfId="0" applyFont="1" applyFill="1" applyBorder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left" indent="1"/>
    </xf>
    <xf numFmtId="0" fontId="2" fillId="5" borderId="17" xfId="0" applyFont="1" applyFill="1" applyBorder="1"/>
    <xf numFmtId="3" fontId="3" fillId="5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7" xfId="0" applyFont="1" applyFill="1" applyBorder="1"/>
    <xf numFmtId="0" fontId="8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9" fontId="2" fillId="4" borderId="2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3" borderId="0" xfId="0" applyNumberFormat="1" applyFont="1" applyFill="1"/>
    <xf numFmtId="3" fontId="2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/>
    </xf>
    <xf numFmtId="0" fontId="3" fillId="3" borderId="0" xfId="0" applyFont="1" applyFill="1"/>
    <xf numFmtId="0" fontId="2" fillId="3" borderId="1" xfId="0" applyFont="1" applyFill="1" applyBorder="1"/>
    <xf numFmtId="9" fontId="3" fillId="3" borderId="1" xfId="0" applyNumberFormat="1" applyFont="1" applyFill="1" applyBorder="1" applyAlignment="1">
      <alignment horizontal="center"/>
    </xf>
    <xf numFmtId="3" fontId="11" fillId="5" borderId="15" xfId="0" applyNumberFormat="1" applyFont="1" applyFill="1" applyBorder="1"/>
    <xf numFmtId="3" fontId="11" fillId="5" borderId="0" xfId="0" applyNumberFormat="1" applyFont="1" applyFill="1"/>
    <xf numFmtId="3" fontId="11" fillId="5" borderId="16" xfId="0" applyNumberFormat="1" applyFont="1" applyFill="1" applyBorder="1"/>
    <xf numFmtId="3" fontId="3" fillId="5" borderId="15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horizontal="center" wrapText="1"/>
    </xf>
    <xf numFmtId="0" fontId="14" fillId="3" borderId="1" xfId="0" applyFont="1" applyFill="1" applyBorder="1"/>
    <xf numFmtId="0" fontId="15" fillId="3" borderId="0" xfId="0" applyFont="1" applyFill="1"/>
    <xf numFmtId="3" fontId="2" fillId="0" borderId="0" xfId="0" applyNumberFormat="1" applyFont="1"/>
    <xf numFmtId="0" fontId="17" fillId="5" borderId="0" xfId="0" applyFont="1" applyFill="1" applyAlignment="1">
      <alignment horizontal="left" indent="1"/>
    </xf>
    <xf numFmtId="0" fontId="17" fillId="5" borderId="0" xfId="0" applyFont="1" applyFill="1"/>
    <xf numFmtId="3" fontId="17" fillId="5" borderId="15" xfId="0" applyNumberFormat="1" applyFont="1" applyFill="1" applyBorder="1"/>
    <xf numFmtId="3" fontId="17" fillId="5" borderId="0" xfId="0" applyNumberFormat="1" applyFont="1" applyFill="1"/>
    <xf numFmtId="3" fontId="17" fillId="5" borderId="16" xfId="0" applyNumberFormat="1" applyFont="1" applyFill="1" applyBorder="1"/>
    <xf numFmtId="3" fontId="18" fillId="5" borderId="0" xfId="0" applyNumberFormat="1" applyFont="1" applyFill="1"/>
    <xf numFmtId="1" fontId="2" fillId="5" borderId="0" xfId="0" applyNumberFormat="1" applyFont="1" applyFill="1"/>
    <xf numFmtId="1" fontId="3" fillId="5" borderId="0" xfId="0" applyNumberFormat="1" applyFont="1" applyFill="1"/>
    <xf numFmtId="9" fontId="2" fillId="5" borderId="0" xfId="1" applyFont="1" applyFill="1"/>
    <xf numFmtId="0" fontId="2" fillId="4" borderId="0" xfId="0" applyFont="1" applyFill="1"/>
    <xf numFmtId="10" fontId="2" fillId="4" borderId="0" xfId="0" applyNumberFormat="1" applyFont="1" applyFill="1"/>
    <xf numFmtId="10" fontId="2" fillId="3" borderId="0" xfId="1" applyNumberFormat="1" applyFont="1" applyFill="1" applyBorder="1"/>
    <xf numFmtId="3" fontId="3" fillId="3" borderId="0" xfId="0" applyNumberFormat="1" applyFont="1" applyFill="1"/>
    <xf numFmtId="9" fontId="2" fillId="3" borderId="0" xfId="1" applyFont="1" applyFill="1" applyBorder="1"/>
    <xf numFmtId="9" fontId="2" fillId="5" borderId="0" xfId="0" applyNumberFormat="1" applyFont="1" applyFill="1"/>
    <xf numFmtId="9" fontId="3" fillId="5" borderId="0" xfId="0" applyNumberFormat="1" applyFont="1" applyFill="1"/>
    <xf numFmtId="10" fontId="2" fillId="3" borderId="0" xfId="0" applyNumberFormat="1" applyFont="1" applyFill="1"/>
    <xf numFmtId="0" fontId="2" fillId="3" borderId="15" xfId="0" applyFont="1" applyFill="1" applyBorder="1"/>
    <xf numFmtId="0" fontId="2" fillId="3" borderId="16" xfId="0" applyFont="1" applyFill="1" applyBorder="1"/>
    <xf numFmtId="3" fontId="2" fillId="3" borderId="15" xfId="0" applyNumberFormat="1" applyFont="1" applyFill="1" applyBorder="1"/>
    <xf numFmtId="3" fontId="2" fillId="3" borderId="16" xfId="0" applyNumberFormat="1" applyFont="1" applyFill="1" applyBorder="1"/>
    <xf numFmtId="3" fontId="3" fillId="3" borderId="15" xfId="0" applyNumberFormat="1" applyFont="1" applyFill="1" applyBorder="1"/>
    <xf numFmtId="3" fontId="3" fillId="3" borderId="16" xfId="0" applyNumberFormat="1" applyFont="1" applyFill="1" applyBorder="1"/>
    <xf numFmtId="3" fontId="2" fillId="5" borderId="0" xfId="0" applyNumberFormat="1" applyFont="1" applyFill="1" applyAlignment="1">
      <alignment horizontal="center"/>
    </xf>
    <xf numFmtId="3" fontId="2" fillId="3" borderId="1" xfId="0" applyNumberFormat="1" applyFont="1" applyFill="1" applyBorder="1"/>
    <xf numFmtId="3" fontId="3" fillId="3" borderId="1" xfId="0" applyNumberFormat="1" applyFont="1" applyFill="1" applyBorder="1"/>
    <xf numFmtId="3" fontId="2" fillId="4" borderId="1" xfId="0" applyNumberFormat="1" applyFont="1" applyFill="1" applyBorder="1"/>
    <xf numFmtId="0" fontId="3" fillId="3" borderId="23" xfId="0" applyFont="1" applyFill="1" applyBorder="1"/>
    <xf numFmtId="3" fontId="2" fillId="3" borderId="23" xfId="0" applyNumberFormat="1" applyFont="1" applyFill="1" applyBorder="1"/>
    <xf numFmtId="0" fontId="2" fillId="3" borderId="23" xfId="0" applyFont="1" applyFill="1" applyBorder="1"/>
    <xf numFmtId="3" fontId="2" fillId="4" borderId="23" xfId="0" applyNumberFormat="1" applyFont="1" applyFill="1" applyBorder="1"/>
    <xf numFmtId="0" fontId="2" fillId="3" borderId="0" xfId="0" applyFont="1" applyFill="1" applyAlignment="1">
      <alignment horizontal="left"/>
    </xf>
    <xf numFmtId="3" fontId="8" fillId="5" borderId="15" xfId="0" applyNumberFormat="1" applyFont="1" applyFill="1" applyBorder="1"/>
    <xf numFmtId="3" fontId="8" fillId="5" borderId="0" xfId="0" applyNumberFormat="1" applyFont="1" applyFill="1"/>
    <xf numFmtId="3" fontId="8" fillId="5" borderId="16" xfId="0" applyNumberFormat="1" applyFont="1" applyFill="1" applyBorder="1"/>
    <xf numFmtId="3" fontId="13" fillId="5" borderId="15" xfId="0" applyNumberFormat="1" applyFont="1" applyFill="1" applyBorder="1"/>
    <xf numFmtId="3" fontId="13" fillId="5" borderId="0" xfId="0" applyNumberFormat="1" applyFont="1" applyFill="1"/>
    <xf numFmtId="3" fontId="13" fillId="5" borderId="16" xfId="0" applyNumberFormat="1" applyFont="1" applyFill="1" applyBorder="1"/>
    <xf numFmtId="3" fontId="8" fillId="5" borderId="15" xfId="0" applyNumberFormat="1" applyFont="1" applyFill="1" applyBorder="1" applyAlignment="1">
      <alignment horizontal="left" indent="1"/>
    </xf>
    <xf numFmtId="3" fontId="8" fillId="5" borderId="0" xfId="0" applyNumberFormat="1" applyFont="1" applyFill="1" applyAlignment="1">
      <alignment horizontal="left" indent="1"/>
    </xf>
    <xf numFmtId="0" fontId="16" fillId="5" borderId="0" xfId="0" applyFont="1" applyFill="1"/>
    <xf numFmtId="0" fontId="3" fillId="5" borderId="0" xfId="0" applyFont="1" applyFill="1" applyAlignment="1">
      <alignment horizontal="left" indent="1"/>
    </xf>
    <xf numFmtId="0" fontId="8" fillId="5" borderId="0" xfId="0" applyFont="1" applyFill="1" applyAlignment="1">
      <alignment horizontal="left" indent="2"/>
    </xf>
    <xf numFmtId="0" fontId="8" fillId="5" borderId="0" xfId="0" applyFont="1" applyFill="1"/>
    <xf numFmtId="0" fontId="13" fillId="5" borderId="0" xfId="0" applyFont="1" applyFill="1" applyAlignment="1">
      <alignment horizontal="left" indent="2"/>
    </xf>
    <xf numFmtId="0" fontId="8" fillId="5" borderId="0" xfId="0" applyFont="1" applyFill="1" applyAlignment="1">
      <alignment horizontal="left" indent="3"/>
    </xf>
    <xf numFmtId="0" fontId="8" fillId="5" borderId="0" xfId="0" applyFont="1" applyFill="1" applyAlignment="1">
      <alignment horizontal="left" indent="1"/>
    </xf>
    <xf numFmtId="3" fontId="2" fillId="7" borderId="0" xfId="0" applyNumberFormat="1" applyFont="1" applyFill="1"/>
    <xf numFmtId="0" fontId="2" fillId="7" borderId="0" xfId="0" applyFont="1" applyFill="1"/>
    <xf numFmtId="9" fontId="3" fillId="5" borderId="0" xfId="1" applyFont="1" applyFill="1" applyBorder="1"/>
    <xf numFmtId="0" fontId="15" fillId="5" borderId="0" xfId="0" applyFont="1" applyFill="1" applyAlignment="1">
      <alignment wrapText="1"/>
    </xf>
    <xf numFmtId="9" fontId="2" fillId="5" borderId="0" xfId="1" applyFont="1" applyFill="1" applyBorder="1"/>
    <xf numFmtId="0" fontId="2" fillId="5" borderId="0" xfId="0" applyFont="1" applyFill="1" applyAlignment="1">
      <alignment horizontal="left" indent="2"/>
    </xf>
    <xf numFmtId="0" fontId="20" fillId="5" borderId="0" xfId="0" applyFont="1" applyFill="1"/>
    <xf numFmtId="0" fontId="21" fillId="5" borderId="0" xfId="0" applyFont="1" applyFill="1"/>
    <xf numFmtId="9" fontId="2" fillId="7" borderId="0" xfId="0" applyNumberFormat="1" applyFont="1" applyFill="1"/>
    <xf numFmtId="9" fontId="2" fillId="7" borderId="0" xfId="1" applyFont="1" applyFill="1" applyBorder="1"/>
    <xf numFmtId="0" fontId="12" fillId="3" borderId="1" xfId="0" applyFont="1" applyFill="1" applyBorder="1" applyAlignment="1">
      <alignment wrapText="1"/>
    </xf>
    <xf numFmtId="9" fontId="2" fillId="0" borderId="0" xfId="1" applyFont="1" applyAlignment="1">
      <alignment wrapText="1"/>
    </xf>
    <xf numFmtId="3" fontId="2" fillId="0" borderId="0" xfId="0" applyNumberFormat="1" applyFont="1" applyAlignment="1">
      <alignment wrapText="1"/>
    </xf>
    <xf numFmtId="0" fontId="13" fillId="5" borderId="0" xfId="0" applyFont="1" applyFill="1"/>
    <xf numFmtId="3" fontId="2" fillId="3" borderId="4" xfId="0" applyNumberFormat="1" applyFont="1" applyFill="1" applyBorder="1" applyAlignment="1">
      <alignment wrapText="1"/>
    </xf>
    <xf numFmtId="9" fontId="2" fillId="3" borderId="4" xfId="1" applyFont="1" applyFill="1" applyBorder="1" applyAlignment="1">
      <alignment wrapText="1"/>
    </xf>
    <xf numFmtId="3" fontId="2" fillId="3" borderId="0" xfId="0" applyNumberFormat="1" applyFont="1" applyFill="1" applyAlignment="1">
      <alignment wrapText="1"/>
    </xf>
    <xf numFmtId="9" fontId="2" fillId="3" borderId="0" xfId="1" applyFont="1" applyFill="1" applyBorder="1" applyAlignment="1">
      <alignment wrapText="1"/>
    </xf>
    <xf numFmtId="3" fontId="9" fillId="3" borderId="0" xfId="0" applyNumberFormat="1" applyFont="1" applyFill="1" applyAlignment="1">
      <alignment wrapText="1"/>
    </xf>
    <xf numFmtId="9" fontId="9" fillId="3" borderId="0" xfId="1" applyFont="1" applyFill="1" applyBorder="1" applyAlignment="1">
      <alignment wrapText="1"/>
    </xf>
    <xf numFmtId="3" fontId="3" fillId="3" borderId="0" xfId="0" applyNumberFormat="1" applyFont="1" applyFill="1" applyAlignment="1">
      <alignment wrapText="1"/>
    </xf>
    <xf numFmtId="9" fontId="3" fillId="3" borderId="0" xfId="1" applyFont="1" applyFill="1" applyBorder="1" applyAlignment="1">
      <alignment wrapText="1"/>
    </xf>
    <xf numFmtId="3" fontId="2" fillId="3" borderId="0" xfId="0" applyNumberFormat="1" applyFont="1" applyFill="1" applyAlignment="1">
      <alignment horizontal="left" wrapText="1" indent="2"/>
    </xf>
    <xf numFmtId="3" fontId="2" fillId="3" borderId="6" xfId="0" applyNumberFormat="1" applyFont="1" applyFill="1" applyBorder="1" applyAlignment="1">
      <alignment wrapText="1"/>
    </xf>
    <xf numFmtId="9" fontId="2" fillId="3" borderId="6" xfId="1" applyFont="1" applyFill="1" applyBorder="1" applyAlignment="1">
      <alignment wrapText="1"/>
    </xf>
    <xf numFmtId="3" fontId="2" fillId="5" borderId="3" xfId="0" applyNumberFormat="1" applyFont="1" applyFill="1" applyBorder="1" applyAlignment="1">
      <alignment wrapText="1"/>
    </xf>
    <xf numFmtId="9" fontId="2" fillId="5" borderId="3" xfId="1" applyFont="1" applyFill="1" applyBorder="1" applyAlignment="1">
      <alignment wrapText="1"/>
    </xf>
    <xf numFmtId="3" fontId="2" fillId="5" borderId="0" xfId="0" applyNumberFormat="1" applyFont="1" applyFill="1" applyAlignment="1">
      <alignment wrapText="1"/>
    </xf>
    <xf numFmtId="9" fontId="2" fillId="5" borderId="0" xfId="1" applyFont="1" applyFill="1" applyBorder="1" applyAlignment="1">
      <alignment wrapText="1"/>
    </xf>
    <xf numFmtId="3" fontId="2" fillId="5" borderId="17" xfId="0" applyNumberFormat="1" applyFont="1" applyFill="1" applyBorder="1" applyAlignment="1">
      <alignment wrapText="1"/>
    </xf>
    <xf numFmtId="9" fontId="2" fillId="5" borderId="17" xfId="1" applyFont="1" applyFill="1" applyBorder="1" applyAlignment="1">
      <alignment wrapText="1"/>
    </xf>
    <xf numFmtId="3" fontId="2" fillId="6" borderId="7" xfId="0" applyNumberFormat="1" applyFont="1" applyFill="1" applyBorder="1" applyAlignment="1">
      <alignment wrapText="1"/>
    </xf>
    <xf numFmtId="9" fontId="2" fillId="6" borderId="7" xfId="1" applyFont="1" applyFill="1" applyBorder="1" applyAlignment="1">
      <alignment wrapText="1"/>
    </xf>
    <xf numFmtId="3" fontId="2" fillId="6" borderId="0" xfId="0" applyNumberFormat="1" applyFont="1" applyFill="1" applyAlignment="1">
      <alignment wrapText="1"/>
    </xf>
    <xf numFmtId="9" fontId="2" fillId="6" borderId="0" xfId="1" applyFont="1" applyFill="1" applyBorder="1" applyAlignment="1">
      <alignment wrapText="1"/>
    </xf>
    <xf numFmtId="3" fontId="2" fillId="6" borderId="8" xfId="0" applyNumberFormat="1" applyFont="1" applyFill="1" applyBorder="1" applyAlignment="1">
      <alignment wrapText="1"/>
    </xf>
    <xf numFmtId="9" fontId="2" fillId="6" borderId="8" xfId="1" applyFont="1" applyFill="1" applyBorder="1" applyAlignment="1">
      <alignment wrapText="1"/>
    </xf>
    <xf numFmtId="3" fontId="2" fillId="3" borderId="0" xfId="1" applyNumberFormat="1" applyFont="1" applyFill="1" applyBorder="1" applyAlignment="1">
      <alignment wrapText="1"/>
    </xf>
    <xf numFmtId="9" fontId="2" fillId="7" borderId="0" xfId="1" applyFont="1" applyFill="1"/>
    <xf numFmtId="0" fontId="23" fillId="8" borderId="24" xfId="0" applyFont="1" applyFill="1" applyBorder="1"/>
    <xf numFmtId="0" fontId="0" fillId="0" borderId="24" xfId="0" applyBorder="1"/>
    <xf numFmtId="3" fontId="0" fillId="0" borderId="25" xfId="0" applyNumberFormat="1" applyBorder="1"/>
    <xf numFmtId="0" fontId="25" fillId="8" borderId="24" xfId="0" applyFont="1" applyFill="1" applyBorder="1"/>
    <xf numFmtId="0" fontId="25" fillId="8" borderId="25" xfId="0" applyFont="1" applyFill="1" applyBorder="1"/>
    <xf numFmtId="0" fontId="3" fillId="0" borderId="24" xfId="0" applyFont="1" applyBorder="1"/>
    <xf numFmtId="3" fontId="3" fillId="0" borderId="25" xfId="0" applyNumberFormat="1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7" xfId="0" applyFont="1" applyBorder="1"/>
    <xf numFmtId="0" fontId="2" fillId="0" borderId="28" xfId="0" applyFont="1" applyBorder="1"/>
    <xf numFmtId="3" fontId="2" fillId="0" borderId="25" xfId="0" applyNumberFormat="1" applyFont="1" applyBorder="1"/>
    <xf numFmtId="9" fontId="2" fillId="0" borderId="28" xfId="0" applyNumberFormat="1" applyFont="1" applyBorder="1"/>
    <xf numFmtId="0" fontId="27" fillId="10" borderId="24" xfId="0" applyFont="1" applyFill="1" applyBorder="1" applyAlignment="1">
      <alignment wrapText="1"/>
    </xf>
    <xf numFmtId="0" fontId="11" fillId="0" borderId="24" xfId="0" applyFont="1" applyBorder="1" applyAlignment="1">
      <alignment horizontal="left" indent="2"/>
    </xf>
    <xf numFmtId="3" fontId="11" fillId="0" borderId="25" xfId="0" applyNumberFormat="1" applyFont="1" applyBorder="1"/>
    <xf numFmtId="0" fontId="22" fillId="0" borderId="27" xfId="0" applyFont="1" applyBorder="1"/>
    <xf numFmtId="0" fontId="22" fillId="0" borderId="29" xfId="0" applyFont="1" applyBorder="1"/>
    <xf numFmtId="3" fontId="0" fillId="0" borderId="26" xfId="0" applyNumberFormat="1" applyBorder="1"/>
    <xf numFmtId="3" fontId="22" fillId="0" borderId="28" xfId="0" applyNumberFormat="1" applyFont="1" applyBorder="1"/>
    <xf numFmtId="3" fontId="22" fillId="0" borderId="29" xfId="0" applyNumberFormat="1" applyFont="1" applyBorder="1"/>
    <xf numFmtId="0" fontId="2" fillId="0" borderId="31" xfId="0" applyFont="1" applyBorder="1"/>
    <xf numFmtId="0" fontId="3" fillId="0" borderId="30" xfId="0" applyFont="1" applyBorder="1" applyAlignment="1">
      <alignment horizontal="left" indent="1"/>
    </xf>
    <xf numFmtId="3" fontId="3" fillId="0" borderId="31" xfId="0" applyNumberFormat="1" applyFont="1" applyBorder="1"/>
    <xf numFmtId="0" fontId="3" fillId="0" borderId="30" xfId="0" applyFont="1" applyBorder="1" applyAlignment="1">
      <alignment horizontal="left" indent="2"/>
    </xf>
    <xf numFmtId="0" fontId="17" fillId="0" borderId="30" xfId="0" applyFont="1" applyBorder="1" applyAlignment="1">
      <alignment horizontal="left" indent="3"/>
    </xf>
    <xf numFmtId="3" fontId="17" fillId="0" borderId="31" xfId="0" applyNumberFormat="1" applyFont="1" applyBorder="1"/>
    <xf numFmtId="9" fontId="17" fillId="0" borderId="31" xfId="0" applyNumberFormat="1" applyFont="1" applyBorder="1"/>
    <xf numFmtId="0" fontId="17" fillId="0" borderId="31" xfId="0" applyFont="1" applyBorder="1"/>
    <xf numFmtId="0" fontId="2" fillId="0" borderId="30" xfId="0" applyFont="1" applyBorder="1"/>
    <xf numFmtId="0" fontId="17" fillId="0" borderId="30" xfId="0" applyFont="1" applyBorder="1" applyAlignment="1">
      <alignment horizontal="left" indent="2"/>
    </xf>
    <xf numFmtId="0" fontId="2" fillId="0" borderId="30" xfId="0" applyFont="1" applyBorder="1" applyAlignment="1">
      <alignment horizontal="left" indent="1"/>
    </xf>
    <xf numFmtId="3" fontId="2" fillId="0" borderId="31" xfId="0" applyNumberFormat="1" applyFont="1" applyBorder="1"/>
    <xf numFmtId="9" fontId="2" fillId="0" borderId="31" xfId="0" applyNumberFormat="1" applyFont="1" applyBorder="1"/>
    <xf numFmtId="0" fontId="25" fillId="9" borderId="24" xfId="0" applyFont="1" applyFill="1" applyBorder="1"/>
    <xf numFmtId="0" fontId="25" fillId="9" borderId="25" xfId="0" applyFont="1" applyFill="1" applyBorder="1"/>
    <xf numFmtId="0" fontId="2" fillId="0" borderId="32" xfId="0" applyFont="1" applyBorder="1"/>
    <xf numFmtId="0" fontId="25" fillId="2" borderId="27" xfId="0" applyFont="1" applyFill="1" applyBorder="1"/>
    <xf numFmtId="0" fontId="25" fillId="2" borderId="29" xfId="0" applyFont="1" applyFill="1" applyBorder="1"/>
    <xf numFmtId="3" fontId="3" fillId="0" borderId="29" xfId="0" applyNumberFormat="1" applyFont="1" applyBorder="1"/>
    <xf numFmtId="0" fontId="3" fillId="0" borderId="27" xfId="0" applyFont="1" applyBorder="1"/>
    <xf numFmtId="3" fontId="2" fillId="0" borderId="29" xfId="0" applyNumberFormat="1" applyFont="1" applyBorder="1"/>
    <xf numFmtId="0" fontId="3" fillId="0" borderId="30" xfId="0" applyFont="1" applyBorder="1"/>
    <xf numFmtId="3" fontId="3" fillId="0" borderId="33" xfId="0" applyNumberFormat="1" applyFont="1" applyBorder="1"/>
    <xf numFmtId="0" fontId="25" fillId="2" borderId="30" xfId="0" applyFont="1" applyFill="1" applyBorder="1"/>
    <xf numFmtId="0" fontId="25" fillId="2" borderId="31" xfId="0" applyFont="1" applyFill="1" applyBorder="1"/>
    <xf numFmtId="3" fontId="15" fillId="0" borderId="33" xfId="0" applyNumberFormat="1" applyFont="1" applyBorder="1"/>
    <xf numFmtId="3" fontId="15" fillId="0" borderId="31" xfId="0" applyNumberFormat="1" applyFont="1" applyBorder="1"/>
    <xf numFmtId="3" fontId="14" fillId="0" borderId="33" xfId="0" applyNumberFormat="1" applyFont="1" applyBorder="1"/>
    <xf numFmtId="3" fontId="14" fillId="0" borderId="31" xfId="0" applyNumberFormat="1" applyFont="1" applyBorder="1"/>
    <xf numFmtId="0" fontId="15" fillId="0" borderId="30" xfId="0" applyFont="1" applyBorder="1"/>
    <xf numFmtId="0" fontId="28" fillId="2" borderId="30" xfId="0" applyFont="1" applyFill="1" applyBorder="1"/>
    <xf numFmtId="0" fontId="28" fillId="2" borderId="33" xfId="0" applyFont="1" applyFill="1" applyBorder="1"/>
    <xf numFmtId="0" fontId="28" fillId="2" borderId="31" xfId="0" applyFont="1" applyFill="1" applyBorder="1"/>
    <xf numFmtId="0" fontId="14" fillId="0" borderId="30" xfId="0" applyFont="1" applyBorder="1"/>
    <xf numFmtId="0" fontId="29" fillId="3" borderId="27" xfId="0" applyFont="1" applyFill="1" applyBorder="1"/>
    <xf numFmtId="0" fontId="29" fillId="3" borderId="28" xfId="0" applyFont="1" applyFill="1" applyBorder="1"/>
    <xf numFmtId="0" fontId="29" fillId="3" borderId="29" xfId="0" applyFont="1" applyFill="1" applyBorder="1"/>
    <xf numFmtId="0" fontId="5" fillId="3" borderId="27" xfId="0" applyFont="1" applyFill="1" applyBorder="1"/>
    <xf numFmtId="3" fontId="5" fillId="3" borderId="28" xfId="0" applyNumberFormat="1" applyFont="1" applyFill="1" applyBorder="1"/>
    <xf numFmtId="3" fontId="29" fillId="3" borderId="29" xfId="0" applyNumberFormat="1" applyFont="1" applyFill="1" applyBorder="1"/>
    <xf numFmtId="3" fontId="29" fillId="3" borderId="28" xfId="0" applyNumberFormat="1" applyFont="1" applyFill="1" applyBorder="1"/>
    <xf numFmtId="3" fontId="25" fillId="2" borderId="31" xfId="0" applyNumberFormat="1" applyFont="1" applyFill="1" applyBorder="1"/>
    <xf numFmtId="0" fontId="25" fillId="2" borderId="34" xfId="0" applyFont="1" applyFill="1" applyBorder="1"/>
    <xf numFmtId="3" fontId="25" fillId="2" borderId="35" xfId="0" applyNumberFormat="1" applyFont="1" applyFill="1" applyBorder="1"/>
    <xf numFmtId="0" fontId="25" fillId="2" borderId="36" xfId="0" applyFont="1" applyFill="1" applyBorder="1"/>
    <xf numFmtId="0" fontId="2" fillId="0" borderId="34" xfId="0" applyFont="1" applyBorder="1"/>
    <xf numFmtId="3" fontId="2" fillId="0" borderId="35" xfId="0" applyNumberFormat="1" applyFont="1" applyBorder="1"/>
    <xf numFmtId="9" fontId="2" fillId="0" borderId="36" xfId="1" applyFont="1" applyBorder="1"/>
    <xf numFmtId="0" fontId="2" fillId="0" borderId="37" xfId="0" applyFont="1" applyBorder="1"/>
    <xf numFmtId="3" fontId="2" fillId="0" borderId="38" xfId="0" applyNumberFormat="1" applyFont="1" applyBorder="1"/>
    <xf numFmtId="9" fontId="2" fillId="0" borderId="39" xfId="1" applyFont="1" applyBorder="1"/>
    <xf numFmtId="9" fontId="3" fillId="0" borderId="31" xfId="1" applyFont="1" applyBorder="1"/>
    <xf numFmtId="9" fontId="2" fillId="0" borderId="31" xfId="1" applyFont="1" applyBorder="1"/>
    <xf numFmtId="3" fontId="3" fillId="0" borderId="0" xfId="0" applyNumberFormat="1" applyFont="1"/>
    <xf numFmtId="0" fontId="2" fillId="0" borderId="33" xfId="0" applyFont="1" applyBorder="1"/>
    <xf numFmtId="0" fontId="25" fillId="2" borderId="33" xfId="0" applyFont="1" applyFill="1" applyBorder="1"/>
    <xf numFmtId="0" fontId="25" fillId="2" borderId="31" xfId="0" applyFont="1" applyFill="1" applyBorder="1" applyAlignment="1">
      <alignment wrapText="1"/>
    </xf>
    <xf numFmtId="3" fontId="2" fillId="0" borderId="31" xfId="0" applyNumberFormat="1" applyFont="1" applyBorder="1" applyAlignment="1">
      <alignment wrapText="1"/>
    </xf>
    <xf numFmtId="9" fontId="2" fillId="0" borderId="33" xfId="1" applyFont="1" applyBorder="1"/>
    <xf numFmtId="3" fontId="2" fillId="0" borderId="33" xfId="1" applyNumberFormat="1" applyFont="1" applyBorder="1"/>
    <xf numFmtId="0" fontId="25" fillId="2" borderId="40" xfId="0" applyFont="1" applyFill="1" applyBorder="1"/>
    <xf numFmtId="3" fontId="2" fillId="0" borderId="40" xfId="1" applyNumberFormat="1" applyFont="1" applyBorder="1"/>
    <xf numFmtId="3" fontId="3" fillId="0" borderId="40" xfId="1" applyNumberFormat="1" applyFont="1" applyBorder="1"/>
    <xf numFmtId="3" fontId="2" fillId="0" borderId="33" xfId="0" applyNumberFormat="1" applyFont="1" applyBorder="1"/>
    <xf numFmtId="0" fontId="2" fillId="7" borderId="0" xfId="0" applyFont="1" applyFill="1" applyAlignment="1">
      <alignment wrapText="1"/>
    </xf>
    <xf numFmtId="0" fontId="0" fillId="7" borderId="0" xfId="0" applyFill="1"/>
    <xf numFmtId="3" fontId="25" fillId="2" borderId="33" xfId="0" applyNumberFormat="1" applyFont="1" applyFill="1" applyBorder="1" applyAlignment="1">
      <alignment wrapText="1"/>
    </xf>
    <xf numFmtId="3" fontId="2" fillId="0" borderId="30" xfId="0" applyNumberFormat="1" applyFont="1" applyBorder="1"/>
    <xf numFmtId="3" fontId="2" fillId="0" borderId="42" xfId="0" applyNumberFormat="1" applyFont="1" applyBorder="1"/>
    <xf numFmtId="3" fontId="2" fillId="0" borderId="43" xfId="0" applyNumberFormat="1" applyFont="1" applyBorder="1"/>
    <xf numFmtId="3" fontId="2" fillId="0" borderId="44" xfId="0" applyNumberFormat="1" applyFont="1" applyBorder="1"/>
    <xf numFmtId="3" fontId="2" fillId="0" borderId="34" xfId="0" applyNumberFormat="1" applyFont="1" applyBorder="1"/>
    <xf numFmtId="3" fontId="2" fillId="0" borderId="36" xfId="0" applyNumberFormat="1" applyFont="1" applyBorder="1"/>
    <xf numFmtId="3" fontId="3" fillId="0" borderId="34" xfId="0" applyNumberFormat="1" applyFont="1" applyBorder="1"/>
    <xf numFmtId="3" fontId="3" fillId="0" borderId="35" xfId="0" applyNumberFormat="1" applyFont="1" applyBorder="1"/>
    <xf numFmtId="3" fontId="3" fillId="0" borderId="36" xfId="0" applyNumberFormat="1" applyFont="1" applyBorder="1"/>
    <xf numFmtId="3" fontId="25" fillId="2" borderId="30" xfId="0" applyNumberFormat="1" applyFont="1" applyFill="1" applyBorder="1"/>
    <xf numFmtId="3" fontId="25" fillId="2" borderId="33" xfId="0" applyNumberFormat="1" applyFont="1" applyFill="1" applyBorder="1"/>
    <xf numFmtId="0" fontId="2" fillId="0" borderId="30" xfId="0" applyFont="1" applyBorder="1" applyAlignment="1">
      <alignment wrapText="1"/>
    </xf>
    <xf numFmtId="3" fontId="2" fillId="0" borderId="33" xfId="0" applyNumberFormat="1" applyFont="1" applyBorder="1" applyAlignment="1">
      <alignment wrapText="1"/>
    </xf>
    <xf numFmtId="0" fontId="3" fillId="0" borderId="30" xfId="0" applyFont="1" applyBorder="1" applyAlignment="1">
      <alignment wrapText="1"/>
    </xf>
    <xf numFmtId="3" fontId="3" fillId="0" borderId="33" xfId="0" applyNumberFormat="1" applyFont="1" applyBorder="1" applyAlignment="1">
      <alignment wrapText="1"/>
    </xf>
    <xf numFmtId="3" fontId="3" fillId="0" borderId="31" xfId="0" applyNumberFormat="1" applyFont="1" applyBorder="1" applyAlignment="1">
      <alignment wrapText="1"/>
    </xf>
    <xf numFmtId="3" fontId="25" fillId="2" borderId="30" xfId="0" applyNumberFormat="1" applyFont="1" applyFill="1" applyBorder="1" applyAlignment="1">
      <alignment wrapText="1"/>
    </xf>
    <xf numFmtId="0" fontId="25" fillId="2" borderId="33" xfId="0" applyFont="1" applyFill="1" applyBorder="1" applyAlignment="1">
      <alignment wrapText="1"/>
    </xf>
    <xf numFmtId="3" fontId="3" fillId="0" borderId="30" xfId="0" applyNumberFormat="1" applyFont="1" applyBorder="1"/>
    <xf numFmtId="164" fontId="2" fillId="0" borderId="33" xfId="1" applyNumberFormat="1" applyFont="1" applyBorder="1"/>
    <xf numFmtId="10" fontId="2" fillId="0" borderId="31" xfId="1" applyNumberFormat="1" applyFont="1" applyBorder="1"/>
    <xf numFmtId="0" fontId="17" fillId="0" borderId="33" xfId="0" applyFont="1" applyBorder="1"/>
    <xf numFmtId="0" fontId="15" fillId="0" borderId="0" xfId="0" applyFont="1"/>
    <xf numFmtId="3" fontId="15" fillId="0" borderId="0" xfId="0" applyNumberFormat="1" applyFont="1"/>
    <xf numFmtId="3" fontId="0" fillId="0" borderId="0" xfId="0" applyNumberFormat="1"/>
    <xf numFmtId="9" fontId="0" fillId="0" borderId="0" xfId="1" applyFont="1"/>
    <xf numFmtId="9" fontId="2" fillId="0" borderId="0" xfId="1" applyFont="1"/>
    <xf numFmtId="2" fontId="2" fillId="0" borderId="0" xfId="0" applyNumberFormat="1" applyFont="1" applyAlignment="1">
      <alignment wrapText="1"/>
    </xf>
    <xf numFmtId="3" fontId="0" fillId="0" borderId="0" xfId="1" applyNumberFormat="1" applyFont="1"/>
    <xf numFmtId="9" fontId="0" fillId="0" borderId="0" xfId="0" applyNumberFormat="1"/>
    <xf numFmtId="0" fontId="14" fillId="0" borderId="0" xfId="0" applyFont="1"/>
    <xf numFmtId="3" fontId="14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left" indent="1"/>
    </xf>
    <xf numFmtId="3" fontId="11" fillId="0" borderId="0" xfId="0" applyNumberFormat="1" applyFont="1"/>
    <xf numFmtId="0" fontId="32" fillId="2" borderId="45" xfId="0" applyFont="1" applyFill="1" applyBorder="1"/>
    <xf numFmtId="0" fontId="32" fillId="2" borderId="0" xfId="0" applyFont="1" applyFill="1"/>
    <xf numFmtId="3" fontId="32" fillId="2" borderId="0" xfId="0" applyNumberFormat="1" applyFont="1" applyFill="1"/>
    <xf numFmtId="0" fontId="33" fillId="0" borderId="0" xfId="0" applyFont="1"/>
    <xf numFmtId="3" fontId="33" fillId="0" borderId="0" xfId="0" applyNumberFormat="1" applyFont="1"/>
    <xf numFmtId="0" fontId="33" fillId="0" borderId="0" xfId="0" applyFont="1" applyAlignment="1">
      <alignment horizontal="left" indent="1"/>
    </xf>
    <xf numFmtId="0" fontId="22" fillId="0" borderId="0" xfId="0" applyFont="1"/>
    <xf numFmtId="3" fontId="22" fillId="0" borderId="0" xfId="0" applyNumberFormat="1" applyFont="1"/>
    <xf numFmtId="0" fontId="34" fillId="2" borderId="0" xfId="0" applyFont="1" applyFill="1"/>
    <xf numFmtId="0" fontId="36" fillId="4" borderId="0" xfId="0" applyFont="1" applyFill="1"/>
    <xf numFmtId="0" fontId="37" fillId="12" borderId="0" xfId="0" applyFont="1" applyFill="1"/>
    <xf numFmtId="0" fontId="37" fillId="11" borderId="0" xfId="0" applyFont="1" applyFill="1"/>
    <xf numFmtId="0" fontId="38" fillId="4" borderId="0" xfId="2" quotePrefix="1" applyFill="1"/>
    <xf numFmtId="0" fontId="38" fillId="4" borderId="0" xfId="2" applyFill="1"/>
    <xf numFmtId="0" fontId="2" fillId="13" borderId="0" xfId="0" applyFont="1" applyFill="1"/>
    <xf numFmtId="0" fontId="38" fillId="13" borderId="0" xfId="2" applyFill="1"/>
    <xf numFmtId="0" fontId="38" fillId="13" borderId="0" xfId="2" quotePrefix="1" applyFill="1"/>
    <xf numFmtId="0" fontId="2" fillId="14" borderId="0" xfId="0" applyFont="1" applyFill="1"/>
    <xf numFmtId="0" fontId="38" fillId="14" borderId="0" xfId="2" applyFill="1"/>
    <xf numFmtId="0" fontId="38" fillId="14" borderId="0" xfId="2" quotePrefix="1" applyFill="1"/>
    <xf numFmtId="0" fontId="38" fillId="14" borderId="0" xfId="2" applyFill="1" applyAlignment="1">
      <alignment horizontal="left" indent="1"/>
    </xf>
    <xf numFmtId="0" fontId="39" fillId="0" borderId="46" xfId="0" applyFont="1" applyBorder="1" applyAlignment="1">
      <alignment horizontal="justify" vertical="center" wrapText="1"/>
    </xf>
    <xf numFmtId="0" fontId="39" fillId="15" borderId="46" xfId="0" applyFont="1" applyFill="1" applyBorder="1" applyAlignment="1">
      <alignment horizontal="justify" vertical="center" wrapText="1"/>
    </xf>
    <xf numFmtId="0" fontId="39" fillId="0" borderId="0" xfId="0" applyFont="1" applyAlignment="1">
      <alignment horizontal="justify" vertical="center" wrapText="1"/>
    </xf>
    <xf numFmtId="0" fontId="24" fillId="0" borderId="0" xfId="0" applyFont="1" applyAlignment="1">
      <alignment horizontal="left"/>
    </xf>
    <xf numFmtId="3" fontId="2" fillId="3" borderId="19" xfId="0" applyNumberFormat="1" applyFont="1" applyFill="1" applyBorder="1" applyAlignment="1">
      <alignment horizontal="center"/>
    </xf>
    <xf numFmtId="165" fontId="2" fillId="7" borderId="0" xfId="0" applyNumberFormat="1" applyFont="1" applyFill="1"/>
    <xf numFmtId="1" fontId="2" fillId="0" borderId="31" xfId="0" applyNumberFormat="1" applyFont="1" applyBorder="1"/>
    <xf numFmtId="166" fontId="2" fillId="0" borderId="0" xfId="0" applyNumberFormat="1" applyFont="1"/>
    <xf numFmtId="9" fontId="2" fillId="3" borderId="0" xfId="1" applyFont="1" applyFill="1"/>
    <xf numFmtId="0" fontId="2" fillId="0" borderId="47" xfId="0" applyFont="1" applyBorder="1" applyAlignment="1">
      <alignment wrapText="1"/>
    </xf>
    <xf numFmtId="0" fontId="2" fillId="0" borderId="47" xfId="0" applyFont="1" applyBorder="1"/>
    <xf numFmtId="0" fontId="40" fillId="0" borderId="47" xfId="2" applyFont="1" applyBorder="1"/>
    <xf numFmtId="10" fontId="2" fillId="0" borderId="47" xfId="0" applyNumberFormat="1" applyFont="1" applyBorder="1"/>
    <xf numFmtId="0" fontId="3" fillId="0" borderId="47" xfId="0" applyFont="1" applyBorder="1" applyAlignment="1">
      <alignment wrapText="1"/>
    </xf>
    <xf numFmtId="10" fontId="3" fillId="0" borderId="47" xfId="0" applyNumberFormat="1" applyFont="1" applyBorder="1"/>
    <xf numFmtId="0" fontId="2" fillId="0" borderId="0" xfId="0" applyFont="1" applyAlignment="1">
      <alignment horizontal="center"/>
    </xf>
    <xf numFmtId="0" fontId="2" fillId="0" borderId="47" xfId="0" applyFont="1" applyBorder="1" applyAlignment="1">
      <alignment horizontal="left" vertical="center" wrapText="1"/>
    </xf>
    <xf numFmtId="0" fontId="2" fillId="0" borderId="4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47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8" xfId="0" applyFont="1" applyBorder="1" applyAlignment="1">
      <alignment vertical="center" wrapText="1"/>
    </xf>
    <xf numFmtId="0" fontId="2" fillId="0" borderId="5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42" fillId="0" borderId="50" xfId="2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42" fillId="0" borderId="47" xfId="2" applyFont="1" applyBorder="1" applyAlignment="1">
      <alignment horizontal="center" vertical="center" wrapText="1"/>
    </xf>
    <xf numFmtId="0" fontId="2" fillId="5" borderId="47" xfId="0" applyFont="1" applyFill="1" applyBorder="1" applyAlignment="1">
      <alignment vertical="center"/>
    </xf>
    <xf numFmtId="9" fontId="2" fillId="0" borderId="47" xfId="0" applyNumberFormat="1" applyFont="1" applyBorder="1" applyAlignment="1">
      <alignment horizontal="left" vertical="center"/>
    </xf>
    <xf numFmtId="0" fontId="39" fillId="0" borderId="47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3" fillId="0" borderId="47" xfId="0" applyFont="1" applyBorder="1"/>
    <xf numFmtId="9" fontId="3" fillId="0" borderId="47" xfId="1" applyFont="1" applyBorder="1"/>
    <xf numFmtId="0" fontId="43" fillId="0" borderId="3" xfId="0" applyFont="1" applyBorder="1"/>
    <xf numFmtId="0" fontId="44" fillId="0" borderId="3" xfId="0" applyFont="1" applyBorder="1"/>
    <xf numFmtId="0" fontId="44" fillId="0" borderId="0" xfId="0" applyFont="1"/>
    <xf numFmtId="0" fontId="43" fillId="0" borderId="0" xfId="0" applyFont="1"/>
    <xf numFmtId="0" fontId="43" fillId="0" borderId="0" xfId="0" applyFont="1" applyAlignment="1">
      <alignment horizontal="left" indent="1"/>
    </xf>
    <xf numFmtId="3" fontId="43" fillId="0" borderId="0" xfId="0" applyNumberFormat="1" applyFont="1"/>
    <xf numFmtId="0" fontId="43" fillId="0" borderId="0" xfId="0" applyFont="1" applyAlignment="1">
      <alignment horizontal="left" indent="2"/>
    </xf>
    <xf numFmtId="0" fontId="45" fillId="0" borderId="0" xfId="0" applyFont="1" applyAlignment="1">
      <alignment horizontal="left" indent="3"/>
    </xf>
    <xf numFmtId="3" fontId="45" fillId="0" borderId="0" xfId="0" applyNumberFormat="1" applyFont="1"/>
    <xf numFmtId="9" fontId="45" fillId="0" borderId="0" xfId="0" applyNumberFormat="1" applyFont="1"/>
    <xf numFmtId="0" fontId="45" fillId="0" borderId="0" xfId="0" applyFont="1"/>
    <xf numFmtId="0" fontId="45" fillId="0" borderId="0" xfId="0" applyFont="1" applyAlignment="1">
      <alignment horizontal="left" indent="2"/>
    </xf>
    <xf numFmtId="0" fontId="44" fillId="0" borderId="0" xfId="0" applyFont="1" applyAlignment="1">
      <alignment horizontal="left" indent="1"/>
    </xf>
    <xf numFmtId="3" fontId="44" fillId="0" borderId="0" xfId="0" applyNumberFormat="1" applyFont="1"/>
    <xf numFmtId="9" fontId="44" fillId="0" borderId="0" xfId="0" applyNumberFormat="1" applyFont="1"/>
    <xf numFmtId="0" fontId="44" fillId="0" borderId="17" xfId="0" applyFont="1" applyBorder="1"/>
    <xf numFmtId="164" fontId="2" fillId="0" borderId="31" xfId="1" applyNumberFormat="1" applyFont="1" applyBorder="1"/>
    <xf numFmtId="0" fontId="35" fillId="2" borderId="0" xfId="0" applyFont="1" applyFill="1" applyAlignment="1">
      <alignment horizontal="left"/>
    </xf>
    <xf numFmtId="0" fontId="42" fillId="0" borderId="47" xfId="2" applyFont="1" applyFill="1" applyBorder="1" applyAlignment="1">
      <alignment horizontal="center" vertical="center" wrapText="1"/>
    </xf>
    <xf numFmtId="0" fontId="42" fillId="0" borderId="48" xfId="2" applyFont="1" applyFill="1" applyBorder="1" applyAlignment="1">
      <alignment horizontal="center" vertical="center" wrapText="1"/>
    </xf>
    <xf numFmtId="0" fontId="42" fillId="0" borderId="49" xfId="2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  <xf numFmtId="3" fontId="3" fillId="5" borderId="18" xfId="0" applyNumberFormat="1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10" fillId="6" borderId="9" xfId="0" applyFont="1" applyFill="1" applyBorder="1" applyAlignment="1">
      <alignment horizontal="left"/>
    </xf>
    <xf numFmtId="0" fontId="10" fillId="6" borderId="1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3" fontId="3" fillId="5" borderId="15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6" xfId="0" applyFont="1" applyFill="1" applyBorder="1" applyAlignment="1">
      <alignment horizontal="center"/>
    </xf>
    <xf numFmtId="3" fontId="3" fillId="5" borderId="0" xfId="0" applyNumberFormat="1" applyFont="1" applyFill="1" applyAlignment="1">
      <alignment horizontal="center"/>
    </xf>
    <xf numFmtId="3" fontId="3" fillId="5" borderId="16" xfId="0" applyNumberFormat="1" applyFont="1" applyFill="1" applyBorder="1" applyAlignment="1">
      <alignment horizontal="center"/>
    </xf>
    <xf numFmtId="0" fontId="6" fillId="3" borderId="21" xfId="0" applyFont="1" applyFill="1" applyBorder="1" applyAlignment="1">
      <alignment horizontal="left"/>
    </xf>
    <xf numFmtId="0" fontId="6" fillId="3" borderId="20" xfId="0" applyFont="1" applyFill="1" applyBorder="1" applyAlignment="1">
      <alignment horizontal="left"/>
    </xf>
    <xf numFmtId="0" fontId="8" fillId="3" borderId="22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3" fontId="2" fillId="5" borderId="15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6" xfId="0" applyFont="1" applyFill="1" applyBorder="1" applyAlignment="1">
      <alignment horizontal="center"/>
    </xf>
    <xf numFmtId="3" fontId="2" fillId="3" borderId="15" xfId="0" applyNumberFormat="1" applyFont="1" applyFill="1" applyBorder="1" applyAlignment="1">
      <alignment horizontal="center"/>
    </xf>
    <xf numFmtId="0" fontId="19" fillId="5" borderId="13" xfId="0" applyFont="1" applyFill="1" applyBorder="1" applyAlignment="1">
      <alignment horizontal="left"/>
    </xf>
    <xf numFmtId="0" fontId="19" fillId="5" borderId="1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0" fillId="6" borderId="7" xfId="0" applyFont="1" applyFill="1" applyBorder="1" applyAlignment="1">
      <alignment horizontal="left"/>
    </xf>
    <xf numFmtId="0" fontId="24" fillId="11" borderId="0" xfId="0" applyFont="1" applyFill="1" applyAlignment="1">
      <alignment horizontal="left"/>
    </xf>
    <xf numFmtId="0" fontId="26" fillId="2" borderId="30" xfId="0" applyFont="1" applyFill="1" applyBorder="1" applyAlignment="1">
      <alignment horizontal="left"/>
    </xf>
    <xf numFmtId="0" fontId="26" fillId="2" borderId="31" xfId="0" applyFont="1" applyFill="1" applyBorder="1" applyAlignment="1">
      <alignment horizontal="left"/>
    </xf>
    <xf numFmtId="0" fontId="31" fillId="7" borderId="0" xfId="0" applyFont="1" applyFill="1" applyAlignment="1">
      <alignment horizontal="center"/>
    </xf>
    <xf numFmtId="0" fontId="30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4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41" xfId="0" applyFont="1" applyBorder="1" applyAlignment="1">
      <alignment horizontal="center"/>
    </xf>
    <xf numFmtId="0" fontId="15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26" fillId="2" borderId="30" xfId="0" applyFont="1" applyFill="1" applyBorder="1" applyAlignment="1"/>
    <xf numFmtId="0" fontId="26" fillId="2" borderId="31" xfId="0" applyFont="1" applyFill="1" applyBorder="1" applyAlignmen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Medium9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План продаж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'Параметры Доходы'!$A$5</c:f>
              <c:strCache>
                <c:ptCount val="1"/>
                <c:pt idx="0">
                  <c:v>Печь "ХЛЕБОПЕЧКА"</c:v>
                </c:pt>
              </c:strCache>
            </c:strRef>
          </c:tx>
          <c:invertIfNegative val="0"/>
          <c:val>
            <c:numRef>
              <c:f>'Параметры Доходы'!$F$5:$Y$5</c:f>
              <c:numCache>
                <c:formatCode>#,##0</c:formatCode>
                <c:ptCount val="20"/>
                <c:pt idx="0">
                  <c:v>0</c:v>
                </c:pt>
                <c:pt idx="1">
                  <c:v>39852000</c:v>
                </c:pt>
                <c:pt idx="2">
                  <c:v>46494000</c:v>
                </c:pt>
                <c:pt idx="3">
                  <c:v>53136000</c:v>
                </c:pt>
                <c:pt idx="4">
                  <c:v>59778000</c:v>
                </c:pt>
                <c:pt idx="5">
                  <c:v>66420000</c:v>
                </c:pt>
                <c:pt idx="6">
                  <c:v>66420000</c:v>
                </c:pt>
                <c:pt idx="7">
                  <c:v>66420000</c:v>
                </c:pt>
                <c:pt idx="8">
                  <c:v>66420000</c:v>
                </c:pt>
                <c:pt idx="9">
                  <c:v>66420000</c:v>
                </c:pt>
                <c:pt idx="10">
                  <c:v>66420000</c:v>
                </c:pt>
                <c:pt idx="11">
                  <c:v>66420000</c:v>
                </c:pt>
                <c:pt idx="12">
                  <c:v>66420000</c:v>
                </c:pt>
                <c:pt idx="13">
                  <c:v>66420000</c:v>
                </c:pt>
                <c:pt idx="14">
                  <c:v>66420000</c:v>
                </c:pt>
                <c:pt idx="15">
                  <c:v>66420000</c:v>
                </c:pt>
                <c:pt idx="16">
                  <c:v>66420000</c:v>
                </c:pt>
                <c:pt idx="17">
                  <c:v>66420000</c:v>
                </c:pt>
                <c:pt idx="18">
                  <c:v>66420000</c:v>
                </c:pt>
                <c:pt idx="19">
                  <c:v>66420000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5-403C-A38A-3873D1E4728C}"/>
            </c:ext>
          </c:extLst>
        </c:ser>
        <c:ser>
          <c:idx val="1"/>
          <c:order val="1"/>
          <c:tx>
            <c:strRef>
              <c:f>'Параметры Доходы'!$A$6</c:f>
              <c:strCache>
                <c:ptCount val="1"/>
              </c:strCache>
            </c:strRef>
          </c:tx>
          <c:spPr>
            <a:solidFill>
              <a:schemeClr val="accent1">
                <a:alpha val="53000"/>
              </a:schemeClr>
            </a:solidFill>
            <a:effectLst>
              <a:glow rad="127000">
                <a:schemeClr val="accent1">
                  <a:alpha val="0"/>
                </a:schemeClr>
              </a:glow>
            </a:effectLst>
          </c:spPr>
          <c:invertIfNegative val="0"/>
          <c:val>
            <c:numRef>
              <c:f>'Параметры Доходы'!$F$6:$Y$6</c:f>
            </c:numRef>
          </c:val>
          <c:extLst>
            <c:ext xmlns:c16="http://schemas.microsoft.com/office/drawing/2014/chart" uri="{C3380CC4-5D6E-409C-BE32-E72D297353CC}">
              <c16:uniqueId val="{00000001-5275-403C-A38A-3873D1E4728C}"/>
            </c:ext>
          </c:extLst>
        </c:ser>
        <c:ser>
          <c:idx val="2"/>
          <c:order val="2"/>
          <c:tx>
            <c:strRef>
              <c:f>'Параметры Доходы'!$A$7</c:f>
              <c:strCache>
                <c:ptCount val="1"/>
              </c:strCache>
            </c:strRef>
          </c:tx>
          <c:spPr>
            <a:solidFill>
              <a:schemeClr val="accent1">
                <a:alpha val="37000"/>
              </a:schemeClr>
            </a:solidFill>
          </c:spPr>
          <c:invertIfNegative val="0"/>
          <c:val>
            <c:numRef>
              <c:f>'Параметры Доходы'!$F$7:$Y$7</c:f>
            </c:numRef>
          </c:val>
          <c:extLst>
            <c:ext xmlns:c16="http://schemas.microsoft.com/office/drawing/2014/chart" uri="{C3380CC4-5D6E-409C-BE32-E72D297353CC}">
              <c16:uniqueId val="{00000002-5275-403C-A38A-3873D1E47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9478784"/>
        <c:axId val="150684800"/>
      </c:barChart>
      <c:catAx>
        <c:axId val="149478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50684800"/>
        <c:crosses val="autoZero"/>
        <c:auto val="1"/>
        <c:lblAlgn val="ctr"/>
        <c:lblOffset val="100"/>
        <c:noMultiLvlLbl val="0"/>
      </c:catAx>
      <c:valAx>
        <c:axId val="15068480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494787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ru-RU" sz="1050"/>
              <a:t>Прогноз динамики загрузки,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'Параметры Доходы'!$F$18:$Y$18</c:f>
              <c:numCache>
                <c:formatCode>0%</c:formatCode>
                <c:ptCount val="20"/>
                <c:pt idx="0">
                  <c:v>0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E-4CAA-90BA-AB0AA04C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05280"/>
        <c:axId val="150706816"/>
      </c:lineChart>
      <c:catAx>
        <c:axId val="15070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0706816"/>
        <c:crosses val="autoZero"/>
        <c:auto val="1"/>
        <c:lblAlgn val="ctr"/>
        <c:lblOffset val="100"/>
        <c:noMultiLvlLbl val="0"/>
      </c:catAx>
      <c:valAx>
        <c:axId val="1507068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50705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/>
              <a:t>Соотношение объемов продаж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Доходы'!$A$21:$A$23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Доходы'!$C$21:$C$23</c:f>
              <c:numCache>
                <c:formatCode>#,##0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E7-446D-B81F-7B96F4AD14C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722048"/>
        <c:axId val="151069056"/>
      </c:barChart>
      <c:catAx>
        <c:axId val="150722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069056"/>
        <c:crosses val="autoZero"/>
        <c:auto val="1"/>
        <c:lblAlgn val="ctr"/>
        <c:lblOffset val="100"/>
        <c:noMultiLvlLbl val="0"/>
      </c:catAx>
      <c:valAx>
        <c:axId val="15106905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50722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Соотношение цен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Доходы'!$A$15:$A$17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Доходы'!$C$15:$C$17</c:f>
              <c:numCache>
                <c:formatCode>#,##0</c:formatCode>
                <c:ptCount val="1"/>
                <c:pt idx="0">
                  <c:v>3690000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B-46A2-A110-0D1FFBF5302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098112"/>
        <c:axId val="151100800"/>
      </c:barChart>
      <c:catAx>
        <c:axId val="151098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100800"/>
        <c:crosses val="autoZero"/>
        <c:auto val="1"/>
        <c:lblAlgn val="ctr"/>
        <c:lblOffset val="100"/>
        <c:noMultiLvlLbl val="0"/>
      </c:catAx>
      <c:valAx>
        <c:axId val="15110080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51098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доходов за 5 лет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dLbl>
              <c:idx val="0"/>
              <c:layout>
                <c:manualLayout>
                  <c:x val="5.8333333333333334E-2"/>
                  <c:y val="-0.1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239-4BA9-877F-80AEF934DC6A}"/>
                </c:ext>
              </c:extLst>
            </c:dLbl>
            <c:dLbl>
              <c:idx val="1"/>
              <c:layout>
                <c:manualLayout>
                  <c:x val="0.1361111111111111"/>
                  <c:y val="-1.38888888888889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39-4BA9-877F-80AEF934DC6A}"/>
                </c:ext>
              </c:extLst>
            </c:dLbl>
            <c:dLbl>
              <c:idx val="2"/>
              <c:layout>
                <c:manualLayout>
                  <c:x val="-7.4999999999999997E-2"/>
                  <c:y val="6.48148148148147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39-4BA9-877F-80AEF934DC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'Параметры Доходы'!$A$5:$A$7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Доходы'!$Z$5:$Z$7</c:f>
              <c:numCache>
                <c:formatCode>#,##0</c:formatCode>
                <c:ptCount val="1"/>
                <c:pt idx="0">
                  <c:v>1195560000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39-4BA9-877F-80AEF934D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доходов за год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'Параметры Доходы'!$A$5:$A$7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Доходы'!$AA$5:$AA$7</c:f>
              <c:numCache>
                <c:formatCode>#,##0</c:formatCode>
                <c:ptCount val="1"/>
                <c:pt idx="0">
                  <c:v>265680000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D-47F0-8944-A8FBD5DA230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Объем продаж по продуктам за год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Доходы'!$A$5:$A$7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Доходы'!$AA$5:$AA$7</c:f>
              <c:numCache>
                <c:formatCode>#,##0</c:formatCode>
                <c:ptCount val="1"/>
                <c:pt idx="0">
                  <c:v>265680000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2-432C-AD98-B95CC520FC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433984"/>
        <c:axId val="151435520"/>
      </c:barChart>
      <c:catAx>
        <c:axId val="151433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435520"/>
        <c:crosses val="autoZero"/>
        <c:auto val="1"/>
        <c:lblAlgn val="ctr"/>
        <c:lblOffset val="100"/>
        <c:noMultiLvlLbl val="0"/>
      </c:catAx>
      <c:valAx>
        <c:axId val="15143552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51433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продаж, тыс. руб. в год.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Доходы'!$A$5:$A$7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Доходы'!$AA$5:$AA$7</c:f>
              <c:numCache>
                <c:formatCode>#,##0</c:formatCode>
                <c:ptCount val="1"/>
                <c:pt idx="0">
                  <c:v>265680000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1-49FB-9588-70621D5091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472768"/>
        <c:axId val="151474560"/>
      </c:barChart>
      <c:catAx>
        <c:axId val="1514727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51474560"/>
        <c:crosses val="autoZero"/>
        <c:auto val="1"/>
        <c:lblAlgn val="ctr"/>
        <c:lblOffset val="100"/>
        <c:noMultiLvlLbl val="0"/>
      </c:catAx>
      <c:valAx>
        <c:axId val="15147456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crossAx val="151472768"/>
        <c:crosses val="autoZero"/>
        <c:crossBetween val="between"/>
        <c:dispUnits>
          <c:builtInUnit val="thousand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Динамика расходов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'Параметры Расходы'!$F$29:$Y$29</c:f>
              <c:numCache>
                <c:formatCode>#,##0</c:formatCode>
                <c:ptCount val="20"/>
                <c:pt idx="0">
                  <c:v>5980028.6571156234</c:v>
                </c:pt>
                <c:pt idx="1">
                  <c:v>38930027.784343749</c:v>
                </c:pt>
                <c:pt idx="2">
                  <c:v>43780438.078649998</c:v>
                </c:pt>
                <c:pt idx="3">
                  <c:v>47034353.878649995</c:v>
                </c:pt>
                <c:pt idx="4">
                  <c:v>50288269.678649992</c:v>
                </c:pt>
                <c:pt idx="5">
                  <c:v>53542185.478649996</c:v>
                </c:pt>
                <c:pt idx="6">
                  <c:v>53542185.478649996</c:v>
                </c:pt>
                <c:pt idx="7">
                  <c:v>53542185.478649996</c:v>
                </c:pt>
                <c:pt idx="8">
                  <c:v>53542185.478649996</c:v>
                </c:pt>
                <c:pt idx="9">
                  <c:v>53542185.478649996</c:v>
                </c:pt>
                <c:pt idx="10">
                  <c:v>53542185.478649996</c:v>
                </c:pt>
                <c:pt idx="11">
                  <c:v>53542185.478649996</c:v>
                </c:pt>
                <c:pt idx="12">
                  <c:v>53542185.478649996</c:v>
                </c:pt>
                <c:pt idx="13">
                  <c:v>53542185.478649996</c:v>
                </c:pt>
                <c:pt idx="14">
                  <c:v>53542185.478649996</c:v>
                </c:pt>
                <c:pt idx="15">
                  <c:v>53542185.478649996</c:v>
                </c:pt>
                <c:pt idx="16">
                  <c:v>53542185.478649996</c:v>
                </c:pt>
                <c:pt idx="17">
                  <c:v>53542185.478649996</c:v>
                </c:pt>
                <c:pt idx="18">
                  <c:v>53542185.478649996</c:v>
                </c:pt>
                <c:pt idx="19">
                  <c:v>53542185.478649996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B-40A0-A6B1-C64E57904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87008"/>
        <c:axId val="149788544"/>
      </c:lineChart>
      <c:catAx>
        <c:axId val="149787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9788544"/>
        <c:crosses val="autoZero"/>
        <c:auto val="1"/>
        <c:lblAlgn val="ctr"/>
        <c:lblOffset val="100"/>
        <c:noMultiLvlLbl val="0"/>
      </c:catAx>
      <c:valAx>
        <c:axId val="14978854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49787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Прогноз постоянных и переменных расходов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'Параметры Расходы'!$A$5</c:f>
              <c:strCache>
                <c:ptCount val="1"/>
                <c:pt idx="0">
                  <c:v>Переменные расходы</c:v>
                </c:pt>
              </c:strCache>
            </c:strRef>
          </c:tx>
          <c:invertIfNegative val="0"/>
          <c:val>
            <c:numRef>
              <c:f>'Параметры Расходы'!$F$5:$Y$5</c:f>
              <c:numCache>
                <c:formatCode>#,##0</c:formatCode>
                <c:ptCount val="20"/>
                <c:pt idx="0">
                  <c:v>0</c:v>
                </c:pt>
                <c:pt idx="1">
                  <c:v>19523494.800000001</c:v>
                </c:pt>
                <c:pt idx="2">
                  <c:v>22777410.600000001</c:v>
                </c:pt>
                <c:pt idx="3">
                  <c:v>26031326.399999999</c:v>
                </c:pt>
                <c:pt idx="4">
                  <c:v>29285242.199999999</c:v>
                </c:pt>
                <c:pt idx="5">
                  <c:v>32539158</c:v>
                </c:pt>
                <c:pt idx="6">
                  <c:v>32539158</c:v>
                </c:pt>
                <c:pt idx="7">
                  <c:v>32539158</c:v>
                </c:pt>
                <c:pt idx="8">
                  <c:v>32539158</c:v>
                </c:pt>
                <c:pt idx="9">
                  <c:v>32539158</c:v>
                </c:pt>
                <c:pt idx="10">
                  <c:v>32539158</c:v>
                </c:pt>
                <c:pt idx="11">
                  <c:v>32539158</c:v>
                </c:pt>
                <c:pt idx="12">
                  <c:v>32539158</c:v>
                </c:pt>
                <c:pt idx="13">
                  <c:v>32539158</c:v>
                </c:pt>
                <c:pt idx="14">
                  <c:v>32539158</c:v>
                </c:pt>
                <c:pt idx="15">
                  <c:v>32539158</c:v>
                </c:pt>
                <c:pt idx="16">
                  <c:v>32539158</c:v>
                </c:pt>
                <c:pt idx="17">
                  <c:v>32539158</c:v>
                </c:pt>
                <c:pt idx="18">
                  <c:v>32539158</c:v>
                </c:pt>
                <c:pt idx="19">
                  <c:v>32539158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C-4780-978F-4FB82EE0F284}"/>
            </c:ext>
          </c:extLst>
        </c:ser>
        <c:ser>
          <c:idx val="1"/>
          <c:order val="1"/>
          <c:tx>
            <c:strRef>
              <c:f>'Параметры Расходы'!$A$13</c:f>
              <c:strCache>
                <c:ptCount val="1"/>
                <c:pt idx="0">
                  <c:v>Постоянные расходы</c:v>
                </c:pt>
              </c:strCache>
            </c:strRef>
          </c:tx>
          <c:invertIfNegative val="0"/>
          <c:val>
            <c:numRef>
              <c:f>'Параметры Расходы'!$F$13:$Y$13</c:f>
              <c:numCache>
                <c:formatCode>#,##0</c:formatCode>
                <c:ptCount val="20"/>
                <c:pt idx="0">
                  <c:v>5980028.6571156234</c:v>
                </c:pt>
                <c:pt idx="1">
                  <c:v>19406532.984343752</c:v>
                </c:pt>
                <c:pt idx="2">
                  <c:v>21003027.478649996</c:v>
                </c:pt>
                <c:pt idx="3">
                  <c:v>21003027.478649996</c:v>
                </c:pt>
                <c:pt idx="4">
                  <c:v>21003027.478649996</c:v>
                </c:pt>
                <c:pt idx="5">
                  <c:v>21003027.478649996</c:v>
                </c:pt>
                <c:pt idx="6">
                  <c:v>21003027.478649996</c:v>
                </c:pt>
                <c:pt idx="7">
                  <c:v>21003027.478649996</c:v>
                </c:pt>
                <c:pt idx="8">
                  <c:v>21003027.478649996</c:v>
                </c:pt>
                <c:pt idx="9">
                  <c:v>21003027.478649996</c:v>
                </c:pt>
                <c:pt idx="10">
                  <c:v>21003027.478649996</c:v>
                </c:pt>
                <c:pt idx="11">
                  <c:v>21003027.478649996</c:v>
                </c:pt>
                <c:pt idx="12">
                  <c:v>21003027.478649996</c:v>
                </c:pt>
                <c:pt idx="13">
                  <c:v>21003027.478649996</c:v>
                </c:pt>
                <c:pt idx="14">
                  <c:v>21003027.478649996</c:v>
                </c:pt>
                <c:pt idx="15">
                  <c:v>21003027.478649996</c:v>
                </c:pt>
                <c:pt idx="16">
                  <c:v>21003027.478649996</c:v>
                </c:pt>
                <c:pt idx="17">
                  <c:v>21003027.478649996</c:v>
                </c:pt>
                <c:pt idx="18">
                  <c:v>21003027.478649996</c:v>
                </c:pt>
                <c:pt idx="19">
                  <c:v>21003027.478649996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C-4780-978F-4FB82EE0F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09024"/>
        <c:axId val="149810560"/>
      </c:barChart>
      <c:catAx>
        <c:axId val="149809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9810560"/>
        <c:crosses val="autoZero"/>
        <c:auto val="1"/>
        <c:lblAlgn val="ctr"/>
        <c:lblOffset val="100"/>
        <c:noMultiLvlLbl val="0"/>
      </c:catAx>
      <c:valAx>
        <c:axId val="14981056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498090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расходов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('Параметры Расходы'!$A$5,'Параметры Расходы'!$A$13)</c:f>
              <c:strCache>
                <c:ptCount val="2"/>
                <c:pt idx="0">
                  <c:v>Переменные расходы</c:v>
                </c:pt>
                <c:pt idx="1">
                  <c:v>Постоянные расходы</c:v>
                </c:pt>
              </c:strCache>
            </c:strRef>
          </c:cat>
          <c:val>
            <c:numRef>
              <c:f>('Параметры Расходы'!$C$5,'Параметры Расходы'!$C$13)</c:f>
              <c:numCache>
                <c:formatCode>#,##0</c:formatCode>
                <c:ptCount val="2"/>
                <c:pt idx="0">
                  <c:v>130156632</c:v>
                </c:pt>
                <c:pt idx="1">
                  <c:v>84012109.914599985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9-4B7B-9536-3C11C52E1C2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постоянных затрат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'Параметры Расходы'!$A$14:$A$25</c:f>
              <c:strCache>
                <c:ptCount val="12"/>
                <c:pt idx="0">
                  <c:v>Заработная плата</c:v>
                </c:pt>
                <c:pt idx="1">
                  <c:v>Аренда</c:v>
                </c:pt>
                <c:pt idx="2">
                  <c:v>Энергия</c:v>
                </c:pt>
                <c:pt idx="3">
                  <c:v>Вода</c:v>
                </c:pt>
                <c:pt idx="4">
                  <c:v>Вывоз ТБО</c:v>
                </c:pt>
                <c:pt idx="5">
                  <c:v>Хозяйственные расходы</c:v>
                </c:pt>
                <c:pt idx="6">
                  <c:v>Канцелярские расходы</c:v>
                </c:pt>
                <c:pt idx="7">
                  <c:v>Интернет</c:v>
                </c:pt>
                <c:pt idx="8">
                  <c:v>Телефон</c:v>
                </c:pt>
                <c:pt idx="9">
                  <c:v>Программное обеспечение</c:v>
                </c:pt>
                <c:pt idx="10">
                  <c:v>Маркетинг и реклама</c:v>
                </c:pt>
                <c:pt idx="11">
                  <c:v>Прочие расходы</c:v>
                </c:pt>
              </c:strCache>
            </c:strRef>
          </c:cat>
          <c:val>
            <c:numRef>
              <c:f>'Параметры Расходы'!$C$14:$C$25</c:f>
              <c:numCache>
                <c:formatCode>#,##0</c:formatCode>
                <c:ptCount val="12"/>
                <c:pt idx="0">
                  <c:v>74480291.039999992</c:v>
                </c:pt>
                <c:pt idx="1">
                  <c:v>7280628</c:v>
                </c:pt>
                <c:pt idx="2">
                  <c:v>450329.52</c:v>
                </c:pt>
                <c:pt idx="3">
                  <c:v>5424.12</c:v>
                </c:pt>
                <c:pt idx="4">
                  <c:v>13878.96</c:v>
                </c:pt>
                <c:pt idx="5">
                  <c:v>108000</c:v>
                </c:pt>
                <c:pt idx="6">
                  <c:v>108000</c:v>
                </c:pt>
                <c:pt idx="7">
                  <c:v>108000</c:v>
                </c:pt>
                <c:pt idx="8">
                  <c:v>108000</c:v>
                </c:pt>
                <c:pt idx="9">
                  <c:v>108000</c:v>
                </c:pt>
                <c:pt idx="10">
                  <c:v>827705.51639999985</c:v>
                </c:pt>
                <c:pt idx="11">
                  <c:v>413852.75819999992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4-4537-AC5E-6F67F3C24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50368"/>
        <c:axId val="149872640"/>
      </c:barChart>
      <c:catAx>
        <c:axId val="1498503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49872640"/>
        <c:crosses val="autoZero"/>
        <c:auto val="1"/>
        <c:lblAlgn val="ctr"/>
        <c:lblOffset val="100"/>
        <c:noMultiLvlLbl val="0"/>
      </c:catAx>
      <c:valAx>
        <c:axId val="149872640"/>
        <c:scaling>
          <c:orientation val="minMax"/>
        </c:scaling>
        <c:delete val="0"/>
        <c:axPos val="t"/>
        <c:numFmt formatCode="#,##0" sourceLinked="1"/>
        <c:majorTickMark val="out"/>
        <c:minorTickMark val="none"/>
        <c:tickLblPos val="low"/>
        <c:crossAx val="149850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Переменные расходы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Расходы'!$A$6:$A$8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Расходы'!$C$6:$C$8</c:f>
              <c:numCache>
                <c:formatCode>#,##0</c:formatCode>
                <c:ptCount val="1"/>
                <c:pt idx="0">
                  <c:v>130156632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C-4212-BDD2-84A5B70D0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01312"/>
        <c:axId val="149902848"/>
      </c:barChart>
      <c:catAx>
        <c:axId val="149901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9902848"/>
        <c:crosses val="autoZero"/>
        <c:auto val="1"/>
        <c:lblAlgn val="ctr"/>
        <c:lblOffset val="100"/>
        <c:noMultiLvlLbl val="0"/>
      </c:catAx>
      <c:valAx>
        <c:axId val="14990284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4990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Динамика инвестиций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'Параметры инвестиции'!$A$15</c:f>
              <c:strCache>
                <c:ptCount val="1"/>
                <c:pt idx="0">
                  <c:v>Инвестиции</c:v>
                </c:pt>
              </c:strCache>
            </c:strRef>
          </c:tx>
          <c:invertIfNegative val="0"/>
          <c:val>
            <c:numRef>
              <c:f>'Параметры инвестиции'!$C$15:$H$15</c:f>
              <c:numCache>
                <c:formatCode>#,##0</c:formatCode>
                <c:ptCount val="6"/>
                <c:pt idx="0">
                  <c:v>6842875.7782630194</c:v>
                </c:pt>
                <c:pt idx="1">
                  <c:v>11195136.4</c:v>
                </c:pt>
                <c:pt idx="2">
                  <c:v>26816705.289606251</c:v>
                </c:pt>
                <c:pt idx="3">
                  <c:v>17320797.389606249</c:v>
                </c:pt>
                <c:pt idx="4">
                  <c:v>10420797.389606249</c:v>
                </c:pt>
                <c:pt idx="5">
                  <c:v>10420797.389606249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F-490E-9FF7-380380072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53280"/>
        <c:axId val="151167360"/>
      </c:barChart>
      <c:lineChart>
        <c:grouping val="standard"/>
        <c:varyColors val="0"/>
        <c:ser>
          <c:idx val="1"/>
          <c:order val="1"/>
          <c:tx>
            <c:strRef>
              <c:f>'Параметры инвестиции'!$A$17</c:f>
              <c:strCache>
                <c:ptCount val="1"/>
                <c:pt idx="0">
                  <c:v>Инвестиции накопленным итогом</c:v>
                </c:pt>
              </c:strCache>
            </c:strRef>
          </c:tx>
          <c:val>
            <c:numRef>
              <c:f>'Параметры инвестиции'!$C$17:$H$17</c:f>
              <c:numCache>
                <c:formatCode>#,##0</c:formatCode>
                <c:ptCount val="6"/>
                <c:pt idx="0">
                  <c:v>6842875.7782630194</c:v>
                </c:pt>
                <c:pt idx="1">
                  <c:v>18038012.17826302</c:v>
                </c:pt>
                <c:pt idx="2">
                  <c:v>44854717.467869267</c:v>
                </c:pt>
                <c:pt idx="3">
                  <c:v>62175514.857475519</c:v>
                </c:pt>
                <c:pt idx="4">
                  <c:v>72596312.247081771</c:v>
                </c:pt>
                <c:pt idx="5">
                  <c:v>83017109.636688024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F-490E-9FF7-380380072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153280"/>
        <c:axId val="151167360"/>
      </c:lineChart>
      <c:catAx>
        <c:axId val="151153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167360"/>
        <c:crosses val="autoZero"/>
        <c:auto val="1"/>
        <c:lblAlgn val="ctr"/>
        <c:lblOffset val="100"/>
        <c:noMultiLvlLbl val="0"/>
      </c:catAx>
      <c:valAx>
        <c:axId val="15116736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511532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План инвестиций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'Параметры инвестиции'!$A$156:$A$165</c:f>
              <c:strCache>
                <c:ptCount val="10"/>
                <c:pt idx="0">
                  <c:v>Депозит по аренде цеха на 6 месяцев</c:v>
                </c:pt>
                <c:pt idx="1">
                  <c:v>Депозит по аренде офиса на 3 месяца</c:v>
                </c:pt>
                <c:pt idx="2">
                  <c:v>Расчет инвестиций в цех (оборудование, инструмент, мебель)</c:v>
                </c:pt>
                <c:pt idx="3">
                  <c:v>Покупка автотранспортных средств</c:v>
                </c:pt>
                <c:pt idx="4">
                  <c:v>Расчет инвестиций в офис (мебель и оргтехника)</c:v>
                </c:pt>
                <c:pt idx="5">
                  <c:v>Подготовительные работы</c:v>
                </c:pt>
                <c:pt idx="6">
                  <c:v>Маркетинг и реклама</c:v>
                </c:pt>
                <c:pt idx="7">
                  <c:v>Прочие, 10% от инвестиций выше</c:v>
                </c:pt>
                <c:pt idx="8">
                  <c:v>Оборотный капитал</c:v>
                </c:pt>
                <c:pt idx="9">
                  <c:v>Запас денег на покрытие кассовых разрывов</c:v>
                </c:pt>
              </c:strCache>
            </c:strRef>
          </c:cat>
          <c:val>
            <c:numRef>
              <c:f>'Параметры инвестиции'!$B$156:$B$165</c:f>
              <c:numCache>
                <c:formatCode>#,##0</c:formatCode>
                <c:ptCount val="10"/>
                <c:pt idx="0">
                  <c:v>3156600</c:v>
                </c:pt>
                <c:pt idx="1">
                  <c:v>241857</c:v>
                </c:pt>
                <c:pt idx="2">
                  <c:v>14954525</c:v>
                </c:pt>
                <c:pt idx="3">
                  <c:v>13500000</c:v>
                </c:pt>
                <c:pt idx="4">
                  <c:v>447266</c:v>
                </c:pt>
                <c:pt idx="5">
                  <c:v>300000</c:v>
                </c:pt>
                <c:pt idx="6">
                  <c:v>300000</c:v>
                </c:pt>
                <c:pt idx="7">
                  <c:v>3290024.8000000003</c:v>
                </c:pt>
                <c:pt idx="8">
                  <c:v>41683189.558424994</c:v>
                </c:pt>
                <c:pt idx="9">
                  <c:v>5143647.2782630194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9-4A44-9AFB-53B83650C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65664"/>
        <c:axId val="151267200"/>
      </c:barChart>
      <c:catAx>
        <c:axId val="1512656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51267200"/>
        <c:crosses val="autoZero"/>
        <c:auto val="1"/>
        <c:lblAlgn val="ctr"/>
        <c:lblOffset val="100"/>
        <c:noMultiLvlLbl val="0"/>
      </c:catAx>
      <c:valAx>
        <c:axId val="151267200"/>
        <c:scaling>
          <c:orientation val="minMax"/>
        </c:scaling>
        <c:delete val="0"/>
        <c:axPos val="t"/>
        <c:numFmt formatCode="#,##0" sourceLinked="1"/>
        <c:majorTickMark val="out"/>
        <c:minorTickMark val="none"/>
        <c:tickLblPos val="nextTo"/>
        <c:crossAx val="151265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7F7-48AE-B5F6-E55477D188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7F7-48AE-B5F6-E55477D188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7F7-48AE-B5F6-E55477D188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7F7-48AE-B5F6-E55477D188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7F7-48AE-B5F6-E55477D188E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7F7-48AE-B5F6-E55477D188E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7F7-48AE-B5F6-E55477D188E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7F7-48AE-B5F6-E55477D188E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47F7-48AE-B5F6-E55477D188E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47F7-48AE-B5F6-E55477D188ED}"/>
              </c:ext>
            </c:extLst>
          </c:dPt>
          <c:cat>
            <c:strRef>
              <c:f>'Параметры инвестиции'!$A$156:$A$165</c:f>
              <c:strCache>
                <c:ptCount val="10"/>
                <c:pt idx="0">
                  <c:v>Депозит по аренде цеха на 6 месяцев</c:v>
                </c:pt>
                <c:pt idx="1">
                  <c:v>Депозит по аренде офиса на 3 месяца</c:v>
                </c:pt>
                <c:pt idx="2">
                  <c:v>Расчет инвестиций в цех (оборудование, инструмент, мебель)</c:v>
                </c:pt>
                <c:pt idx="3">
                  <c:v>Покупка автотранспортных средств</c:v>
                </c:pt>
                <c:pt idx="4">
                  <c:v>Расчет инвестиций в офис (мебель и оргтехника)</c:v>
                </c:pt>
                <c:pt idx="5">
                  <c:v>Подготовительные работы</c:v>
                </c:pt>
                <c:pt idx="6">
                  <c:v>Маркетинг и реклама</c:v>
                </c:pt>
                <c:pt idx="7">
                  <c:v>Прочие, 10% от инвестиций выше</c:v>
                </c:pt>
                <c:pt idx="8">
                  <c:v>Оборотный капитал</c:v>
                </c:pt>
                <c:pt idx="9">
                  <c:v>Запас денег на покрытие кассовых разрывов</c:v>
                </c:pt>
              </c:strCache>
            </c:strRef>
          </c:cat>
          <c:val>
            <c:numRef>
              <c:f>'Параметры инвестиции'!$B$156:$B$165</c:f>
              <c:numCache>
                <c:formatCode>#,##0</c:formatCode>
                <c:ptCount val="10"/>
                <c:pt idx="0">
                  <c:v>3156600</c:v>
                </c:pt>
                <c:pt idx="1">
                  <c:v>241857</c:v>
                </c:pt>
                <c:pt idx="2">
                  <c:v>14954525</c:v>
                </c:pt>
                <c:pt idx="3">
                  <c:v>13500000</c:v>
                </c:pt>
                <c:pt idx="4">
                  <c:v>447266</c:v>
                </c:pt>
                <c:pt idx="5">
                  <c:v>300000</c:v>
                </c:pt>
                <c:pt idx="6">
                  <c:v>300000</c:v>
                </c:pt>
                <c:pt idx="7">
                  <c:v>3290024.8000000003</c:v>
                </c:pt>
                <c:pt idx="8">
                  <c:v>41683189.558424994</c:v>
                </c:pt>
                <c:pt idx="9">
                  <c:v>5143647.2782630194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A-4A04-ABD7-2859E34D8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График платежей по кредиту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'Параметры финансирование'!$F$29:$Y$29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D-4E67-88DB-231C3CA59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47968"/>
        <c:axId val="151349504"/>
      </c:lineChart>
      <c:catAx>
        <c:axId val="15134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349504"/>
        <c:crosses val="autoZero"/>
        <c:auto val="1"/>
        <c:lblAlgn val="ctr"/>
        <c:lblOffset val="100"/>
        <c:noMultiLvlLbl val="0"/>
      </c:catAx>
      <c:valAx>
        <c:axId val="15134950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51347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Источники финансирования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('Параметры финансирование'!$A$16,'Параметры финансирование'!$A$17)</c:f>
              <c:strCache>
                <c:ptCount val="2"/>
                <c:pt idx="0">
                  <c:v>Собственные средства</c:v>
                </c:pt>
                <c:pt idx="1">
                  <c:v>Кредит</c:v>
                </c:pt>
              </c:strCache>
            </c:strRef>
          </c:cat>
          <c:val>
            <c:numRef>
              <c:f>('Параметры финансирование'!$B$16,'Параметры финансирование'!$B$17)</c:f>
              <c:numCache>
                <c:formatCode>#,##0</c:formatCode>
                <c:ptCount val="2"/>
                <c:pt idx="0">
                  <c:v>77873462.358424991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F-45B4-9A7E-C64E68364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378176"/>
        <c:axId val="151379968"/>
      </c:barChart>
      <c:catAx>
        <c:axId val="151378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379968"/>
        <c:crosses val="autoZero"/>
        <c:auto val="1"/>
        <c:lblAlgn val="ctr"/>
        <c:lblOffset val="100"/>
        <c:noMultiLvlLbl val="0"/>
      </c:catAx>
      <c:valAx>
        <c:axId val="15137996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5137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финансирования бизнеса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dLbl>
              <c:idx val="0"/>
              <c:layout>
                <c:manualLayout>
                  <c:x val="0.10833333333333334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901-4414-8BC3-18F487404D24}"/>
                </c:ext>
              </c:extLst>
            </c:dLbl>
            <c:dLbl>
              <c:idx val="1"/>
              <c:layout>
                <c:manualLayout>
                  <c:x val="-9.1666666666666619E-2"/>
                  <c:y val="2.777777777777769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01-4414-8BC3-18F487404D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'Параметры финансирование'!$A$16:$A$17</c:f>
              <c:strCache>
                <c:ptCount val="2"/>
                <c:pt idx="0">
                  <c:v>Собственные средства</c:v>
                </c:pt>
                <c:pt idx="1">
                  <c:v>Кредит</c:v>
                </c:pt>
              </c:strCache>
            </c:strRef>
          </c:cat>
          <c:val>
            <c:numRef>
              <c:f>'Параметры финансирование'!$C$16:$C$17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01-4414-8BC3-18F487404D2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Динамика</a:t>
            </a:r>
            <a:r>
              <a:rPr lang="ru-RU" sz="1100" baseline="0"/>
              <a:t> налоговых выплат</a:t>
            </a:r>
            <a:endParaRPr lang="ru-RU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'Параметы Налоги'!$F$9:$Y$9</c:f>
              <c:numCache>
                <c:formatCode>#,##0</c:formatCode>
                <c:ptCount val="20"/>
                <c:pt idx="0">
                  <c:v>-836381.37885260396</c:v>
                </c:pt>
                <c:pt idx="1">
                  <c:v>231164.60421770721</c:v>
                </c:pt>
                <c:pt idx="2">
                  <c:v>611100.56277499942</c:v>
                </c:pt>
                <c:pt idx="3">
                  <c:v>1673439.3959100014</c:v>
                </c:pt>
                <c:pt idx="4">
                  <c:v>2792306.3473300016</c:v>
                </c:pt>
                <c:pt idx="5">
                  <c:v>3911173.298750001</c:v>
                </c:pt>
                <c:pt idx="6">
                  <c:v>3900678.8501700005</c:v>
                </c:pt>
                <c:pt idx="7">
                  <c:v>3890184.4015900008</c:v>
                </c:pt>
                <c:pt idx="8">
                  <c:v>3879689.9530100008</c:v>
                </c:pt>
                <c:pt idx="9">
                  <c:v>3869195.5044300007</c:v>
                </c:pt>
                <c:pt idx="10">
                  <c:v>4157791.5558500011</c:v>
                </c:pt>
                <c:pt idx="11">
                  <c:v>4162822.4182700007</c:v>
                </c:pt>
                <c:pt idx="12">
                  <c:v>4159104.7577300007</c:v>
                </c:pt>
                <c:pt idx="13">
                  <c:v>4155387.097190001</c:v>
                </c:pt>
                <c:pt idx="14">
                  <c:v>4151669.436650001</c:v>
                </c:pt>
                <c:pt idx="15">
                  <c:v>4147951.7761100009</c:v>
                </c:pt>
                <c:pt idx="16">
                  <c:v>4144234.1155700013</c:v>
                </c:pt>
                <c:pt idx="17">
                  <c:v>4140516.4550300008</c:v>
                </c:pt>
                <c:pt idx="18">
                  <c:v>4136798.7944900012</c:v>
                </c:pt>
                <c:pt idx="19">
                  <c:v>4133081.1339500006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D75-B1EC-5D8D01077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78464"/>
        <c:axId val="160084352"/>
      </c:lineChart>
      <c:catAx>
        <c:axId val="160078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0084352"/>
        <c:crosses val="autoZero"/>
        <c:auto val="1"/>
        <c:lblAlgn val="ctr"/>
        <c:lblOffset val="100"/>
        <c:noMultiLvlLbl val="0"/>
      </c:catAx>
      <c:valAx>
        <c:axId val="16008435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0078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Доля</a:t>
            </a:r>
            <a:r>
              <a:rPr lang="ru-RU" sz="1100" baseline="0"/>
              <a:t> налогов в выручке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'Параметы Налоги'!$F$44:$Y$44</c:f>
              <c:numCache>
                <c:formatCode>0%</c:formatCode>
                <c:ptCount val="20"/>
                <c:pt idx="0">
                  <c:v>0</c:v>
                </c:pt>
                <c:pt idx="1">
                  <c:v>5.8005772412352509E-3</c:v>
                </c:pt>
                <c:pt idx="2">
                  <c:v>1.3143643540564361E-2</c:v>
                </c:pt>
                <c:pt idx="3">
                  <c:v>3.1493514677619718E-2</c:v>
                </c:pt>
                <c:pt idx="4">
                  <c:v>4.6711270824216292E-2</c:v>
                </c:pt>
                <c:pt idx="5">
                  <c:v>5.888547574149354E-2</c:v>
                </c:pt>
                <c:pt idx="6">
                  <c:v>5.8727474407859089E-2</c:v>
                </c:pt>
                <c:pt idx="7">
                  <c:v>5.8569473074224644E-2</c:v>
                </c:pt>
                <c:pt idx="8">
                  <c:v>5.8411471740590193E-2</c:v>
                </c:pt>
                <c:pt idx="9">
                  <c:v>5.8253470406955749E-2</c:v>
                </c:pt>
                <c:pt idx="10">
                  <c:v>6.2598487742396888E-2</c:v>
                </c:pt>
                <c:pt idx="11">
                  <c:v>6.2674230928485411E-2</c:v>
                </c:pt>
                <c:pt idx="12">
                  <c:v>6.2618258923968689E-2</c:v>
                </c:pt>
                <c:pt idx="13">
                  <c:v>6.2562286919451982E-2</c:v>
                </c:pt>
                <c:pt idx="14">
                  <c:v>6.2506314914935274E-2</c:v>
                </c:pt>
                <c:pt idx="15">
                  <c:v>6.2450342910418559E-2</c:v>
                </c:pt>
                <c:pt idx="16">
                  <c:v>6.2394370905901858E-2</c:v>
                </c:pt>
                <c:pt idx="17">
                  <c:v>6.2338398901385136E-2</c:v>
                </c:pt>
                <c:pt idx="18">
                  <c:v>6.2282426896868429E-2</c:v>
                </c:pt>
                <c:pt idx="19">
                  <c:v>6.2226454892351714E-2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A-4C36-A824-D8E2AE89F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174080"/>
        <c:axId val="160175616"/>
      </c:barChart>
      <c:catAx>
        <c:axId val="16017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0175616"/>
        <c:crosses val="autoZero"/>
        <c:auto val="1"/>
        <c:lblAlgn val="ctr"/>
        <c:lblOffset val="100"/>
        <c:noMultiLvlLbl val="0"/>
      </c:catAx>
      <c:valAx>
        <c:axId val="1601756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174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</a:t>
            </a:r>
            <a:r>
              <a:rPr lang="ru-RU" sz="1100" baseline="0"/>
              <a:t> налоговой нагрузки, в год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'Параметы Налоги'!$AB$5:$AB$8</c:f>
              <c:strCache>
                <c:ptCount val="4"/>
                <c:pt idx="0">
                  <c:v>Налог на прибыль</c:v>
                </c:pt>
                <c:pt idx="1">
                  <c:v>Налог на имущество</c:v>
                </c:pt>
                <c:pt idx="2">
                  <c:v>НДС</c:v>
                </c:pt>
                <c:pt idx="3">
                  <c:v>Налог на землю</c:v>
                </c:pt>
              </c:strCache>
            </c:strRef>
          </c:cat>
          <c:val>
            <c:numRef>
              <c:f>'Параметы Налоги'!$AC$5:$AC$8</c:f>
              <c:numCache>
                <c:formatCode>#,##0</c:formatCode>
                <c:ptCount val="4"/>
                <c:pt idx="0">
                  <c:v>7894234.0465900041</c:v>
                </c:pt>
                <c:pt idx="1">
                  <c:v>75186.771550000005</c:v>
                </c:pt>
                <c:pt idx="2">
                  <c:v>8585209.6809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2C1-ACF5-1BDF639E5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212480"/>
        <c:axId val="160214016"/>
      </c:barChart>
      <c:catAx>
        <c:axId val="160212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214016"/>
        <c:crosses val="autoZero"/>
        <c:auto val="1"/>
        <c:lblAlgn val="ctr"/>
        <c:lblOffset val="100"/>
        <c:noMultiLvlLbl val="0"/>
      </c:catAx>
      <c:valAx>
        <c:axId val="16021401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0212480"/>
        <c:crosses val="autoZero"/>
        <c:crossBetween val="between"/>
        <c:dispUnits>
          <c:builtInUnit val="million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Доля самортизированного имущества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Амортизация!$A$16:$A$19</c:f>
              <c:strCache>
                <c:ptCount val="4"/>
                <c:pt idx="0">
                  <c:v>Депозит по аренде офиса на 3 месяца</c:v>
                </c:pt>
                <c:pt idx="1">
                  <c:v>Расчет инвестиций в цех (оборудование, инструмент, мебель)</c:v>
                </c:pt>
                <c:pt idx="2">
                  <c:v>Покупка автотранспортных средств</c:v>
                </c:pt>
                <c:pt idx="3">
                  <c:v>Расчет инвестиций в офис (мебель и оргтехника)</c:v>
                </c:pt>
              </c:strCache>
            </c:strRef>
          </c:cat>
          <c:val>
            <c:numRef>
              <c:f>Амортизация!$AB$16:$AB$19</c:f>
              <c:numCache>
                <c:formatCode>0%</c:formatCode>
                <c:ptCount val="4"/>
                <c:pt idx="0">
                  <c:v>1.0000000000000004</c:v>
                </c:pt>
                <c:pt idx="1">
                  <c:v>1</c:v>
                </c:pt>
                <c:pt idx="2">
                  <c:v>0</c:v>
                </c:pt>
                <c:pt idx="3">
                  <c:v>1.0999999999999996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8-4E78-9AE2-885E8937DE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0260864"/>
        <c:axId val="160262400"/>
      </c:barChart>
      <c:catAx>
        <c:axId val="1602608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0262400"/>
        <c:crosses val="autoZero"/>
        <c:auto val="1"/>
        <c:lblAlgn val="ctr"/>
        <c:lblOffset val="100"/>
        <c:noMultiLvlLbl val="0"/>
      </c:catAx>
      <c:valAx>
        <c:axId val="160262400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crossAx val="160260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Периоды амортизации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Амортизация!$A$38:$A$41</c:f>
              <c:strCache>
                <c:ptCount val="4"/>
                <c:pt idx="0">
                  <c:v>Депозит по аренде офиса на 3 месяца</c:v>
                </c:pt>
                <c:pt idx="1">
                  <c:v>Расчет инвестиций в цех (оборудование, инструмент, мебель)</c:v>
                </c:pt>
                <c:pt idx="2">
                  <c:v>Покупка автотранспортных средств</c:v>
                </c:pt>
                <c:pt idx="3">
                  <c:v>Расчет инвестиций в офис (мебель и оргтехника)</c:v>
                </c:pt>
              </c:strCache>
            </c:strRef>
          </c:cat>
          <c:val>
            <c:numRef>
              <c:f>Амортизация!$C$38:$C$41</c:f>
              <c:numCache>
                <c:formatCode>General</c:formatCode>
                <c:ptCount val="4"/>
                <c:pt idx="0">
                  <c:v>5</c:v>
                </c:pt>
                <c:pt idx="1">
                  <c:v>2.5</c:v>
                </c:pt>
                <c:pt idx="2">
                  <c:v>5</c:v>
                </c:pt>
                <c:pt idx="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1-4A60-A3C8-ADAD73B945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0291840"/>
        <c:axId val="160441088"/>
      </c:barChart>
      <c:catAx>
        <c:axId val="160291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441088"/>
        <c:crosses val="autoZero"/>
        <c:auto val="1"/>
        <c:lblAlgn val="ctr"/>
        <c:lblOffset val="100"/>
        <c:noMultiLvlLbl val="0"/>
      </c:catAx>
      <c:valAx>
        <c:axId val="160441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0291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Имущество на балансе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Амортизация!$H$5:$Y$5</c:f>
              <c:strCache>
                <c:ptCount val="18"/>
                <c:pt idx="0">
                  <c:v>3 кв.</c:v>
                </c:pt>
                <c:pt idx="1">
                  <c:v>4 кв.</c:v>
                </c:pt>
                <c:pt idx="2">
                  <c:v>5 кв.</c:v>
                </c:pt>
                <c:pt idx="3">
                  <c:v>6 кв.</c:v>
                </c:pt>
                <c:pt idx="4">
                  <c:v>7 кв.</c:v>
                </c:pt>
                <c:pt idx="5">
                  <c:v>8 кв.</c:v>
                </c:pt>
                <c:pt idx="6">
                  <c:v>9 кв.</c:v>
                </c:pt>
                <c:pt idx="7">
                  <c:v>10 кв.</c:v>
                </c:pt>
                <c:pt idx="8">
                  <c:v>11 кв.</c:v>
                </c:pt>
                <c:pt idx="9">
                  <c:v>12 кв.</c:v>
                </c:pt>
                <c:pt idx="10">
                  <c:v>13 кв.</c:v>
                </c:pt>
                <c:pt idx="11">
                  <c:v>14 кв.</c:v>
                </c:pt>
                <c:pt idx="12">
                  <c:v>15 кв.</c:v>
                </c:pt>
                <c:pt idx="13">
                  <c:v>16 кв.</c:v>
                </c:pt>
                <c:pt idx="14">
                  <c:v>17 кв.</c:v>
                </c:pt>
                <c:pt idx="15">
                  <c:v>18 кв.</c:v>
                </c:pt>
                <c:pt idx="16">
                  <c:v>19 кв.</c:v>
                </c:pt>
                <c:pt idx="17">
                  <c:v>20 кв.</c:v>
                </c:pt>
              </c:strCache>
            </c:strRef>
          </c:cat>
          <c:val>
            <c:numRef>
              <c:f>Амортизация!$H$12:$Y$12</c:f>
              <c:numCache>
                <c:formatCode>#,##0</c:formatCode>
                <c:ptCount val="18"/>
                <c:pt idx="0">
                  <c:v>28880044.100000001</c:v>
                </c:pt>
                <c:pt idx="1">
                  <c:v>26494942.149999999</c:v>
                </c:pt>
                <c:pt idx="2">
                  <c:v>24109840.200000003</c:v>
                </c:pt>
                <c:pt idx="3">
                  <c:v>21724738.25</c:v>
                </c:pt>
                <c:pt idx="4">
                  <c:v>19339636.299999997</c:v>
                </c:pt>
                <c:pt idx="5">
                  <c:v>16954534.350000001</c:v>
                </c:pt>
                <c:pt idx="6">
                  <c:v>14569432.399999999</c:v>
                </c:pt>
                <c:pt idx="7">
                  <c:v>12184330.449999999</c:v>
                </c:pt>
                <c:pt idx="8">
                  <c:v>9799228.5</c:v>
                </c:pt>
                <c:pt idx="9">
                  <c:v>8909579.0500000007</c:v>
                </c:pt>
                <c:pt idx="10">
                  <c:v>8064656.2000000002</c:v>
                </c:pt>
                <c:pt idx="11">
                  <c:v>7219733.3500000006</c:v>
                </c:pt>
                <c:pt idx="12">
                  <c:v>6374810.5</c:v>
                </c:pt>
                <c:pt idx="13">
                  <c:v>5529887.6500000004</c:v>
                </c:pt>
                <c:pt idx="14">
                  <c:v>4684964.8000000007</c:v>
                </c:pt>
                <c:pt idx="15">
                  <c:v>3840041.9499999997</c:v>
                </c:pt>
                <c:pt idx="16">
                  <c:v>2995119.1</c:v>
                </c:pt>
                <c:pt idx="17">
                  <c:v>2150196.25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2-402E-8D21-F44DFF4E9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452992"/>
        <c:axId val="160454528"/>
      </c:lineChart>
      <c:catAx>
        <c:axId val="160452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454528"/>
        <c:crosses val="autoZero"/>
        <c:auto val="1"/>
        <c:lblAlgn val="ctr"/>
        <c:lblOffset val="100"/>
        <c:noMultiLvlLbl val="0"/>
      </c:catAx>
      <c:valAx>
        <c:axId val="16045452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0452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Отчет</a:t>
            </a:r>
            <a:r>
              <a:rPr lang="ru-RU" sz="1100" baseline="0"/>
              <a:t> о прибылях и убытках за год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Прибыль!$A$5:$A$18</c:f>
              <c:strCache>
                <c:ptCount val="14"/>
                <c:pt idx="0">
                  <c:v>Выручка</c:v>
                </c:pt>
                <c:pt idx="1">
                  <c:v>Переменные расходы</c:v>
                </c:pt>
                <c:pt idx="2">
                  <c:v>Маржинальная прибыль</c:v>
                </c:pt>
                <c:pt idx="3">
                  <c:v>Постоянные расходы</c:v>
                </c:pt>
                <c:pt idx="4">
                  <c:v>EBITDA</c:v>
                </c:pt>
                <c:pt idx="5">
                  <c:v>Проценты по кредиту</c:v>
                </c:pt>
                <c:pt idx="6">
                  <c:v>Налоги</c:v>
                </c:pt>
                <c:pt idx="7">
                  <c:v>НДС</c:v>
                </c:pt>
                <c:pt idx="8">
                  <c:v>Налог на имущество</c:v>
                </c:pt>
                <c:pt idx="9">
                  <c:v>Налог на землю</c:v>
                </c:pt>
                <c:pt idx="10">
                  <c:v>Амортизация</c:v>
                </c:pt>
                <c:pt idx="11">
                  <c:v>Прибыль</c:v>
                </c:pt>
                <c:pt idx="12">
                  <c:v>Налог на прибыль</c:v>
                </c:pt>
                <c:pt idx="13">
                  <c:v>Чистая прибыль</c:v>
                </c:pt>
              </c:strCache>
            </c:strRef>
          </c:cat>
          <c:val>
            <c:numRef>
              <c:f>Прибыль!$AB$5:$AB$18</c:f>
              <c:numCache>
                <c:formatCode>#,##0</c:formatCode>
                <c:ptCount val="14"/>
                <c:pt idx="0">
                  <c:v>265680000</c:v>
                </c:pt>
                <c:pt idx="1">
                  <c:v>130156632</c:v>
                </c:pt>
                <c:pt idx="2">
                  <c:v>135523368</c:v>
                </c:pt>
                <c:pt idx="3">
                  <c:v>84012109.914599985</c:v>
                </c:pt>
                <c:pt idx="4">
                  <c:v>51511258.085400015</c:v>
                </c:pt>
                <c:pt idx="5">
                  <c:v>0</c:v>
                </c:pt>
                <c:pt idx="6">
                  <c:v>8660396.4524500016</c:v>
                </c:pt>
                <c:pt idx="7">
                  <c:v>8585209.6809</c:v>
                </c:pt>
                <c:pt idx="8">
                  <c:v>75186.771550000005</c:v>
                </c:pt>
                <c:pt idx="9">
                  <c:v>0</c:v>
                </c:pt>
                <c:pt idx="10">
                  <c:v>3379691.4</c:v>
                </c:pt>
                <c:pt idx="11">
                  <c:v>39471170.232950017</c:v>
                </c:pt>
                <c:pt idx="12">
                  <c:v>7894234.0465900041</c:v>
                </c:pt>
                <c:pt idx="13">
                  <c:v>31576936.186360013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4-4C30-8864-7163EE1BA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175424"/>
        <c:axId val="161176960"/>
      </c:barChart>
      <c:catAx>
        <c:axId val="1611754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1176960"/>
        <c:crosses val="autoZero"/>
        <c:auto val="1"/>
        <c:lblAlgn val="ctr"/>
        <c:lblOffset val="100"/>
        <c:noMultiLvlLbl val="0"/>
      </c:catAx>
      <c:valAx>
        <c:axId val="161176960"/>
        <c:scaling>
          <c:orientation val="minMax"/>
        </c:scaling>
        <c:delete val="0"/>
        <c:axPos val="t"/>
        <c:minorGridlines/>
        <c:numFmt formatCode="#,##0" sourceLinked="1"/>
        <c:majorTickMark val="out"/>
        <c:minorTickMark val="none"/>
        <c:tickLblPos val="nextTo"/>
        <c:crossAx val="161175424"/>
        <c:crosses val="autoZero"/>
        <c:crossBetween val="between"/>
        <c:dispUnits>
          <c:builtInUnit val="million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/>
              <a:t>Динамика чистой прибыли, руб. в кв.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Прибыль!$F$18:$Y$18</c:f>
              <c:numCache>
                <c:formatCode>#,##0</c:formatCode>
                <c:ptCount val="20"/>
                <c:pt idx="0">
                  <c:v>-7370919.2282630196</c:v>
                </c:pt>
                <c:pt idx="1">
                  <c:v>-861464.33856146038</c:v>
                </c:pt>
                <c:pt idx="2">
                  <c:v>-282640.59142499743</c:v>
                </c:pt>
                <c:pt idx="3">
                  <c:v>2043104.7754400037</c:v>
                </c:pt>
                <c:pt idx="4">
                  <c:v>4312322.0240200032</c:v>
                </c:pt>
                <c:pt idx="5">
                  <c:v>6581539.2726000035</c:v>
                </c:pt>
                <c:pt idx="6">
                  <c:v>6592033.7211800031</c:v>
                </c:pt>
                <c:pt idx="7">
                  <c:v>6602528.1697600028</c:v>
                </c:pt>
                <c:pt idx="8">
                  <c:v>6613022.6183400024</c:v>
                </c:pt>
                <c:pt idx="9">
                  <c:v>6623517.0669200029</c:v>
                </c:pt>
                <c:pt idx="10">
                  <c:v>7830373.5155000035</c:v>
                </c:pt>
                <c:pt idx="11">
                  <c:v>7870069.253080003</c:v>
                </c:pt>
                <c:pt idx="12">
                  <c:v>7873786.9136200026</c:v>
                </c:pt>
                <c:pt idx="13">
                  <c:v>7877504.574160004</c:v>
                </c:pt>
                <c:pt idx="14">
                  <c:v>7881222.2347000036</c:v>
                </c:pt>
                <c:pt idx="15">
                  <c:v>7884939.8952400032</c:v>
                </c:pt>
                <c:pt idx="16">
                  <c:v>7888657.5557800038</c:v>
                </c:pt>
                <c:pt idx="17">
                  <c:v>7892375.2163200034</c:v>
                </c:pt>
                <c:pt idx="18">
                  <c:v>7896092.876860003</c:v>
                </c:pt>
                <c:pt idx="19">
                  <c:v>7899810.5374000026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C4-41A0-B1F8-EB544CB0F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34240"/>
        <c:axId val="161035776"/>
      </c:lineChart>
      <c:catAx>
        <c:axId val="161034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1035776"/>
        <c:crosses val="autoZero"/>
        <c:auto val="1"/>
        <c:lblAlgn val="ctr"/>
        <c:lblOffset val="100"/>
        <c:noMultiLvlLbl val="0"/>
      </c:catAx>
      <c:valAx>
        <c:axId val="16103577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03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EBITDA</a:t>
            </a:r>
            <a:r>
              <a:rPr lang="ru-RU" sz="1100"/>
              <a:t> и</a:t>
            </a:r>
            <a:r>
              <a:rPr lang="en-US" sz="1100"/>
              <a:t> </a:t>
            </a:r>
            <a:r>
              <a:rPr lang="ru-RU" sz="1100"/>
              <a:t>Чистая прибыль, руб. в кв.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Прибыль!$A$9</c:f>
              <c:strCache>
                <c:ptCount val="1"/>
                <c:pt idx="0">
                  <c:v>EBITDA</c:v>
                </c:pt>
              </c:strCache>
            </c:strRef>
          </c:tx>
          <c:invertIfNegative val="0"/>
          <c:val>
            <c:numRef>
              <c:f>Прибыль!$F$9:$Y$9</c:f>
              <c:numCache>
                <c:formatCode>#,##0</c:formatCode>
                <c:ptCount val="20"/>
                <c:pt idx="0">
                  <c:v>-5980028.6571156234</c:v>
                </c:pt>
                <c:pt idx="1">
                  <c:v>921972.21565624699</c:v>
                </c:pt>
                <c:pt idx="2">
                  <c:v>2713561.9213500023</c:v>
                </c:pt>
                <c:pt idx="3">
                  <c:v>6101646.1213500053</c:v>
                </c:pt>
                <c:pt idx="4">
                  <c:v>9489730.3213500045</c:v>
                </c:pt>
                <c:pt idx="5">
                  <c:v>12877814.521350004</c:v>
                </c:pt>
                <c:pt idx="6">
                  <c:v>12877814.521350004</c:v>
                </c:pt>
                <c:pt idx="7">
                  <c:v>12877814.521350004</c:v>
                </c:pt>
                <c:pt idx="8">
                  <c:v>12877814.521350004</c:v>
                </c:pt>
                <c:pt idx="9">
                  <c:v>12877814.521350004</c:v>
                </c:pt>
                <c:pt idx="10">
                  <c:v>12877814.521350004</c:v>
                </c:pt>
                <c:pt idx="11">
                  <c:v>12877814.521350004</c:v>
                </c:pt>
                <c:pt idx="12">
                  <c:v>12877814.521350004</c:v>
                </c:pt>
                <c:pt idx="13">
                  <c:v>12877814.521350004</c:v>
                </c:pt>
                <c:pt idx="14">
                  <c:v>12877814.521350004</c:v>
                </c:pt>
                <c:pt idx="15">
                  <c:v>12877814.521350004</c:v>
                </c:pt>
                <c:pt idx="16">
                  <c:v>12877814.521350004</c:v>
                </c:pt>
                <c:pt idx="17">
                  <c:v>12877814.521350004</c:v>
                </c:pt>
                <c:pt idx="18">
                  <c:v>12877814.521350004</c:v>
                </c:pt>
                <c:pt idx="19">
                  <c:v>12877814.521350004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6-45EB-BDBB-467ECBCA8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061120"/>
        <c:axId val="161067008"/>
      </c:barChart>
      <c:lineChart>
        <c:grouping val="standard"/>
        <c:varyColors val="0"/>
        <c:ser>
          <c:idx val="2"/>
          <c:order val="1"/>
          <c:tx>
            <c:strRef>
              <c:f>Прибыль!$A$18</c:f>
              <c:strCache>
                <c:ptCount val="1"/>
                <c:pt idx="0">
                  <c:v>Чистая прибыль</c:v>
                </c:pt>
              </c:strCache>
            </c:strRef>
          </c:tx>
          <c:val>
            <c:numRef>
              <c:f>Прибыль!$F$18:$Y$18</c:f>
              <c:numCache>
                <c:formatCode>#,##0</c:formatCode>
                <c:ptCount val="20"/>
                <c:pt idx="0">
                  <c:v>-7370919.2282630196</c:v>
                </c:pt>
                <c:pt idx="1">
                  <c:v>-861464.33856146038</c:v>
                </c:pt>
                <c:pt idx="2">
                  <c:v>-282640.59142499743</c:v>
                </c:pt>
                <c:pt idx="3">
                  <c:v>2043104.7754400037</c:v>
                </c:pt>
                <c:pt idx="4">
                  <c:v>4312322.0240200032</c:v>
                </c:pt>
                <c:pt idx="5">
                  <c:v>6581539.2726000035</c:v>
                </c:pt>
                <c:pt idx="6">
                  <c:v>6592033.7211800031</c:v>
                </c:pt>
                <c:pt idx="7">
                  <c:v>6602528.1697600028</c:v>
                </c:pt>
                <c:pt idx="8">
                  <c:v>6613022.6183400024</c:v>
                </c:pt>
                <c:pt idx="9">
                  <c:v>6623517.0669200029</c:v>
                </c:pt>
                <c:pt idx="10">
                  <c:v>7830373.5155000035</c:v>
                </c:pt>
                <c:pt idx="11">
                  <c:v>7870069.253080003</c:v>
                </c:pt>
                <c:pt idx="12">
                  <c:v>7873786.9136200026</c:v>
                </c:pt>
                <c:pt idx="13">
                  <c:v>7877504.574160004</c:v>
                </c:pt>
                <c:pt idx="14">
                  <c:v>7881222.2347000036</c:v>
                </c:pt>
                <c:pt idx="15">
                  <c:v>7884939.8952400032</c:v>
                </c:pt>
                <c:pt idx="16">
                  <c:v>7888657.5557800038</c:v>
                </c:pt>
                <c:pt idx="17">
                  <c:v>7892375.2163200034</c:v>
                </c:pt>
                <c:pt idx="18">
                  <c:v>7896092.876860003</c:v>
                </c:pt>
                <c:pt idx="19">
                  <c:v>7899810.5374000026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6-45EB-BDBB-467ECBCA8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61120"/>
        <c:axId val="161067008"/>
      </c:lineChart>
      <c:catAx>
        <c:axId val="161061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61067008"/>
        <c:crosses val="autoZero"/>
        <c:auto val="1"/>
        <c:lblAlgn val="ctr"/>
        <c:lblOffset val="100"/>
        <c:noMultiLvlLbl val="0"/>
      </c:catAx>
      <c:valAx>
        <c:axId val="16106700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0611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Основные</a:t>
            </a:r>
            <a:r>
              <a:rPr lang="ru-RU" sz="1100" baseline="0"/>
              <a:t> показатели за год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Прибыль!$AD$5:$AD$8</c:f>
              <c:strCache>
                <c:ptCount val="4"/>
                <c:pt idx="0">
                  <c:v>Выручка</c:v>
                </c:pt>
                <c:pt idx="1">
                  <c:v>EBITDA</c:v>
                </c:pt>
                <c:pt idx="2">
                  <c:v>Расходы</c:v>
                </c:pt>
                <c:pt idx="3">
                  <c:v>Чистая Прибыль</c:v>
                </c:pt>
              </c:strCache>
            </c:strRef>
          </c:cat>
          <c:val>
            <c:numRef>
              <c:f>Прибыль!$AE$5:$AE$8</c:f>
              <c:numCache>
                <c:formatCode>#,##0</c:formatCode>
                <c:ptCount val="4"/>
                <c:pt idx="0">
                  <c:v>265680000</c:v>
                </c:pt>
                <c:pt idx="1">
                  <c:v>51511258.085400015</c:v>
                </c:pt>
                <c:pt idx="2">
                  <c:v>234103063.81364</c:v>
                </c:pt>
                <c:pt idx="3">
                  <c:v>31576936.186360013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C-4154-9542-80252D17B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112448"/>
        <c:axId val="161113984"/>
      </c:barChart>
      <c:catAx>
        <c:axId val="161112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1113984"/>
        <c:crosses val="autoZero"/>
        <c:auto val="1"/>
        <c:lblAlgn val="ctr"/>
        <c:lblOffset val="100"/>
        <c:noMultiLvlLbl val="0"/>
      </c:catAx>
      <c:valAx>
        <c:axId val="16111398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11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EBITDA</a:t>
            </a:r>
            <a:r>
              <a:rPr lang="ru-RU" sz="1100"/>
              <a:t>,</a:t>
            </a:r>
            <a:r>
              <a:rPr lang="ru-RU" sz="1100" baseline="0"/>
              <a:t> руб. в кв.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Прибыль!$F$9:$Y$9</c:f>
              <c:numCache>
                <c:formatCode>#,##0</c:formatCode>
                <c:ptCount val="20"/>
                <c:pt idx="0">
                  <c:v>-5980028.6571156234</c:v>
                </c:pt>
                <c:pt idx="1">
                  <c:v>921972.21565624699</c:v>
                </c:pt>
                <c:pt idx="2">
                  <c:v>2713561.9213500023</c:v>
                </c:pt>
                <c:pt idx="3">
                  <c:v>6101646.1213500053</c:v>
                </c:pt>
                <c:pt idx="4">
                  <c:v>9489730.3213500045</c:v>
                </c:pt>
                <c:pt idx="5">
                  <c:v>12877814.521350004</c:v>
                </c:pt>
                <c:pt idx="6">
                  <c:v>12877814.521350004</c:v>
                </c:pt>
                <c:pt idx="7">
                  <c:v>12877814.521350004</c:v>
                </c:pt>
                <c:pt idx="8">
                  <c:v>12877814.521350004</c:v>
                </c:pt>
                <c:pt idx="9">
                  <c:v>12877814.521350004</c:v>
                </c:pt>
                <c:pt idx="10">
                  <c:v>12877814.521350004</c:v>
                </c:pt>
                <c:pt idx="11">
                  <c:v>12877814.521350004</c:v>
                </c:pt>
                <c:pt idx="12">
                  <c:v>12877814.521350004</c:v>
                </c:pt>
                <c:pt idx="13">
                  <c:v>12877814.521350004</c:v>
                </c:pt>
                <c:pt idx="14">
                  <c:v>12877814.521350004</c:v>
                </c:pt>
                <c:pt idx="15">
                  <c:v>12877814.521350004</c:v>
                </c:pt>
                <c:pt idx="16">
                  <c:v>12877814.521350004</c:v>
                </c:pt>
                <c:pt idx="17">
                  <c:v>12877814.521350004</c:v>
                </c:pt>
                <c:pt idx="18">
                  <c:v>12877814.521350004</c:v>
                </c:pt>
                <c:pt idx="19">
                  <c:v>12877814.521350004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4-4857-B063-467F8C6EF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146368"/>
        <c:axId val="161147904"/>
      </c:barChart>
      <c:catAx>
        <c:axId val="16114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61147904"/>
        <c:crosses val="autoZero"/>
        <c:auto val="1"/>
        <c:lblAlgn val="ctr"/>
        <c:lblOffset val="100"/>
        <c:noMultiLvlLbl val="0"/>
      </c:catAx>
      <c:valAx>
        <c:axId val="16114790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14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Денежные средства на счету компании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ОДДС!$F$52:$Y$52</c:f>
              <c:numCache>
                <c:formatCode>#,##0</c:formatCode>
                <c:ptCount val="20"/>
                <c:pt idx="0">
                  <c:v>38162392.168818742</c:v>
                </c:pt>
                <c:pt idx="1">
                  <c:v>690807.6114385426</c:v>
                </c:pt>
                <c:pt idx="2">
                  <c:v>2793268.970013544</c:v>
                </c:pt>
                <c:pt idx="3">
                  <c:v>7221475.6954535469</c:v>
                </c:pt>
                <c:pt idx="4">
                  <c:v>13918899.669473551</c:v>
                </c:pt>
                <c:pt idx="5">
                  <c:v>22885540.892073557</c:v>
                </c:pt>
                <c:pt idx="6">
                  <c:v>31862676.563253559</c:v>
                </c:pt>
                <c:pt idx="7">
                  <c:v>40850306.683013566</c:v>
                </c:pt>
                <c:pt idx="8">
                  <c:v>49848431.251353569</c:v>
                </c:pt>
                <c:pt idx="9">
                  <c:v>58857050.26827357</c:v>
                </c:pt>
                <c:pt idx="10">
                  <c:v>67577073.233773574</c:v>
                </c:pt>
                <c:pt idx="11">
                  <c:v>76292065.336853579</c:v>
                </c:pt>
                <c:pt idx="12">
                  <c:v>85010775.100473583</c:v>
                </c:pt>
                <c:pt idx="13">
                  <c:v>93733202.524633586</c:v>
                </c:pt>
                <c:pt idx="14">
                  <c:v>102459347.60933359</c:v>
                </c:pt>
                <c:pt idx="15">
                  <c:v>111189210.35457359</c:v>
                </c:pt>
                <c:pt idx="16">
                  <c:v>119922790.7603536</c:v>
                </c:pt>
                <c:pt idx="17">
                  <c:v>128660088.8266736</c:v>
                </c:pt>
                <c:pt idx="18">
                  <c:v>137401104.55353361</c:v>
                </c:pt>
                <c:pt idx="19">
                  <c:v>146145837.94093361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0-4DE9-89A4-7E83E184A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65728"/>
        <c:axId val="161321728"/>
      </c:barChart>
      <c:catAx>
        <c:axId val="9466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1321728"/>
        <c:crosses val="autoZero"/>
        <c:auto val="1"/>
        <c:lblAlgn val="ctr"/>
        <c:lblOffset val="100"/>
        <c:noMultiLvlLbl val="0"/>
      </c:catAx>
      <c:valAx>
        <c:axId val="16132172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94665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Денежный</a:t>
            </a:r>
            <a:r>
              <a:rPr lang="ru-RU" sz="1100" baseline="0"/>
              <a:t> поток по операционной деятельности</a:t>
            </a:r>
            <a:endParaRPr lang="ru-RU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ОДДС!$F$29:$Y$29</c:f>
              <c:numCache>
                <c:formatCode>#,##0</c:formatCode>
                <c:ptCount val="20"/>
                <c:pt idx="0">
                  <c:v>-5143647.2782630194</c:v>
                </c:pt>
                <c:pt idx="1">
                  <c:v>690807.6114385426</c:v>
                </c:pt>
                <c:pt idx="2">
                  <c:v>2102461.3585750014</c:v>
                </c:pt>
                <c:pt idx="3">
                  <c:v>4428206.725440003</c:v>
                </c:pt>
                <c:pt idx="4">
                  <c:v>6697423.9740200043</c:v>
                </c:pt>
                <c:pt idx="5">
                  <c:v>8966641.2226000056</c:v>
                </c:pt>
                <c:pt idx="6">
                  <c:v>8977135.6711800024</c:v>
                </c:pt>
                <c:pt idx="7">
                  <c:v>8987630.1197600067</c:v>
                </c:pt>
                <c:pt idx="8">
                  <c:v>8998124.5683400035</c:v>
                </c:pt>
                <c:pt idx="9">
                  <c:v>9008619.0169200003</c:v>
                </c:pt>
                <c:pt idx="10">
                  <c:v>8720022.9655000046</c:v>
                </c:pt>
                <c:pt idx="11">
                  <c:v>8714992.1030800045</c:v>
                </c:pt>
                <c:pt idx="12">
                  <c:v>8718709.7636200041</c:v>
                </c:pt>
                <c:pt idx="13">
                  <c:v>8722427.4241600037</c:v>
                </c:pt>
                <c:pt idx="14">
                  <c:v>8726145.0847000033</c:v>
                </c:pt>
                <c:pt idx="15">
                  <c:v>8729862.7452400029</c:v>
                </c:pt>
                <c:pt idx="16">
                  <c:v>8733580.4057800025</c:v>
                </c:pt>
                <c:pt idx="17">
                  <c:v>8737298.0663200021</c:v>
                </c:pt>
                <c:pt idx="18">
                  <c:v>8741015.7268600017</c:v>
                </c:pt>
                <c:pt idx="19">
                  <c:v>8744733.3874000013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7-41AC-AEC5-B933FE23B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66400"/>
        <c:axId val="161367936"/>
      </c:lineChart>
      <c:catAx>
        <c:axId val="161366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1367936"/>
        <c:crosses val="autoZero"/>
        <c:auto val="1"/>
        <c:lblAlgn val="ctr"/>
        <c:lblOffset val="100"/>
        <c:noMultiLvlLbl val="0"/>
      </c:catAx>
      <c:valAx>
        <c:axId val="16136793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366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Денежные потоки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Денежный поток компании</c:v>
          </c:tx>
          <c:invertIfNegative val="0"/>
          <c:val>
            <c:numRef>
              <c:f>'Возврат инвестиций'!$F$16:$Y$16</c:f>
              <c:numCache>
                <c:formatCode>#,##0</c:formatCode>
                <c:ptCount val="20"/>
                <c:pt idx="0">
                  <c:v>-5143647.2782630194</c:v>
                </c:pt>
                <c:pt idx="1">
                  <c:v>690807.61143853981</c:v>
                </c:pt>
                <c:pt idx="2">
                  <c:v>2102461.3585750028</c:v>
                </c:pt>
                <c:pt idx="3">
                  <c:v>4428206.7254400039</c:v>
                </c:pt>
                <c:pt idx="4">
                  <c:v>6697423.9740200024</c:v>
                </c:pt>
                <c:pt idx="5">
                  <c:v>8966641.2226000018</c:v>
                </c:pt>
                <c:pt idx="6">
                  <c:v>8977135.6711800024</c:v>
                </c:pt>
                <c:pt idx="7">
                  <c:v>8987630.1197600029</c:v>
                </c:pt>
                <c:pt idx="8">
                  <c:v>8998124.5683400035</c:v>
                </c:pt>
                <c:pt idx="9">
                  <c:v>9008619.016920004</c:v>
                </c:pt>
                <c:pt idx="10">
                  <c:v>8720022.9655000027</c:v>
                </c:pt>
                <c:pt idx="11">
                  <c:v>8714992.1030800026</c:v>
                </c:pt>
                <c:pt idx="12">
                  <c:v>8718709.7636200041</c:v>
                </c:pt>
                <c:pt idx="13">
                  <c:v>8722427.4241600037</c:v>
                </c:pt>
                <c:pt idx="14">
                  <c:v>8726145.0847000033</c:v>
                </c:pt>
                <c:pt idx="15">
                  <c:v>8729862.7452400029</c:v>
                </c:pt>
                <c:pt idx="16">
                  <c:v>8733580.4057800025</c:v>
                </c:pt>
                <c:pt idx="17">
                  <c:v>8737298.0663200021</c:v>
                </c:pt>
                <c:pt idx="18">
                  <c:v>8741015.7268600017</c:v>
                </c:pt>
                <c:pt idx="19">
                  <c:v>8744733.3874000032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0-462C-A1B8-4D21FB20F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434624"/>
        <c:axId val="161440512"/>
      </c:barChart>
      <c:lineChart>
        <c:grouping val="standard"/>
        <c:varyColors val="0"/>
        <c:ser>
          <c:idx val="1"/>
          <c:order val="1"/>
          <c:tx>
            <c:v>Денежный поток акционерам</c:v>
          </c:tx>
          <c:val>
            <c:numRef>
              <c:f>'Возврат инвестиций'!$F$25:$Y$25</c:f>
              <c:numCache>
                <c:formatCode>#,##0</c:formatCode>
                <c:ptCount val="20"/>
                <c:pt idx="0">
                  <c:v>0</c:v>
                </c:pt>
                <c:pt idx="1">
                  <c:v>690807.61143853981</c:v>
                </c:pt>
                <c:pt idx="2">
                  <c:v>2102461.3585750028</c:v>
                </c:pt>
                <c:pt idx="3">
                  <c:v>4428206.7254400039</c:v>
                </c:pt>
                <c:pt idx="4">
                  <c:v>6697423.9740200024</c:v>
                </c:pt>
                <c:pt idx="5">
                  <c:v>8966641.2226000018</c:v>
                </c:pt>
                <c:pt idx="6">
                  <c:v>8977135.6711800024</c:v>
                </c:pt>
                <c:pt idx="7">
                  <c:v>8987630.1197600029</c:v>
                </c:pt>
                <c:pt idx="8">
                  <c:v>8998124.5683400035</c:v>
                </c:pt>
                <c:pt idx="9">
                  <c:v>9008619.016920004</c:v>
                </c:pt>
                <c:pt idx="10">
                  <c:v>8720022.9655000027</c:v>
                </c:pt>
                <c:pt idx="11">
                  <c:v>8714992.1030800026</c:v>
                </c:pt>
                <c:pt idx="12">
                  <c:v>8718709.7636200041</c:v>
                </c:pt>
                <c:pt idx="13">
                  <c:v>8722427.4241600037</c:v>
                </c:pt>
                <c:pt idx="14">
                  <c:v>8726145.0847000033</c:v>
                </c:pt>
                <c:pt idx="15">
                  <c:v>8729862.7452400029</c:v>
                </c:pt>
                <c:pt idx="16">
                  <c:v>8733580.4057800025</c:v>
                </c:pt>
                <c:pt idx="17">
                  <c:v>8737298.0663200021</c:v>
                </c:pt>
                <c:pt idx="18">
                  <c:v>8741015.7268600017</c:v>
                </c:pt>
                <c:pt idx="19">
                  <c:v>8744733.3874000032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0-462C-A1B8-4D21FB20F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434624"/>
        <c:axId val="161440512"/>
      </c:lineChart>
      <c:catAx>
        <c:axId val="161434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61440512"/>
        <c:crosses val="autoZero"/>
        <c:auto val="1"/>
        <c:lblAlgn val="ctr"/>
        <c:lblOffset val="100"/>
        <c:noMultiLvlLbl val="0"/>
      </c:catAx>
      <c:valAx>
        <c:axId val="16144051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4346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Чистый</a:t>
            </a:r>
            <a:r>
              <a:rPr lang="ru-RU" sz="1100" baseline="0"/>
              <a:t> дисконтированный доход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'Инвестиционный анализ'!$F$9:$Y$9</c:f>
              <c:numCache>
                <c:formatCode>#,##0</c:formatCode>
                <c:ptCount val="20"/>
                <c:pt idx="0">
                  <c:v>-49998364.746132284</c:v>
                </c:pt>
                <c:pt idx="1">
                  <c:v>-87469949.303512484</c:v>
                </c:pt>
                <c:pt idx="2">
                  <c:v>-85367487.944937482</c:v>
                </c:pt>
                <c:pt idx="3">
                  <c:v>-80939281.219497472</c:v>
                </c:pt>
                <c:pt idx="4">
                  <c:v>-74241857.245477468</c:v>
                </c:pt>
                <c:pt idx="5">
                  <c:v>-65275216.02287747</c:v>
                </c:pt>
                <c:pt idx="6">
                  <c:v>-56298080.351697467</c:v>
                </c:pt>
                <c:pt idx="7">
                  <c:v>-47310450.231937468</c:v>
                </c:pt>
                <c:pt idx="8">
                  <c:v>-38312325.663597465</c:v>
                </c:pt>
                <c:pt idx="9">
                  <c:v>-29303706.646677461</c:v>
                </c:pt>
                <c:pt idx="10">
                  <c:v>-20583683.68117746</c:v>
                </c:pt>
                <c:pt idx="11">
                  <c:v>-11868691.578097457</c:v>
                </c:pt>
                <c:pt idx="12">
                  <c:v>-3149981.814477453</c:v>
                </c:pt>
                <c:pt idx="13">
                  <c:v>5572445.6096825507</c:v>
                </c:pt>
                <c:pt idx="14">
                  <c:v>14298590.694382554</c:v>
                </c:pt>
                <c:pt idx="15">
                  <c:v>23028453.439622559</c:v>
                </c:pt>
                <c:pt idx="16">
                  <c:v>31762033.845402561</c:v>
                </c:pt>
                <c:pt idx="17">
                  <c:v>40499331.911722563</c:v>
                </c:pt>
                <c:pt idx="18">
                  <c:v>49240347.638582565</c:v>
                </c:pt>
                <c:pt idx="19">
                  <c:v>57985081.025982566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7-471E-85F6-893FD71B6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469568"/>
        <c:axId val="161471104"/>
      </c:barChart>
      <c:catAx>
        <c:axId val="16146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61471104"/>
        <c:crosses val="autoZero"/>
        <c:auto val="1"/>
        <c:lblAlgn val="ctr"/>
        <c:lblOffset val="100"/>
        <c:noMultiLvlLbl val="0"/>
      </c:catAx>
      <c:valAx>
        <c:axId val="16147110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Финансовый анализ в разрезе бизнес направлений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'Центры прибыли'!$A$65</c:f>
              <c:strCache>
                <c:ptCount val="1"/>
                <c:pt idx="0">
                  <c:v>Печь "ХЛЕБОПЕЧКА"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'Центры прибыли'!$B$64:$E$64</c:f>
              <c:strCache>
                <c:ptCount val="4"/>
                <c:pt idx="0">
                  <c:v>Выручка</c:v>
                </c:pt>
                <c:pt idx="1">
                  <c:v>Переменные расходы</c:v>
                </c:pt>
                <c:pt idx="2">
                  <c:v>Постоянные расходы+Налоги</c:v>
                </c:pt>
                <c:pt idx="3">
                  <c:v>Прибыль</c:v>
                </c:pt>
              </c:strCache>
            </c:strRef>
          </c:cat>
          <c:val>
            <c:numRef>
              <c:f>'Центры прибыли'!$B$65:$E$65</c:f>
              <c:numCache>
                <c:formatCode>#,##0</c:formatCode>
                <c:ptCount val="4"/>
                <c:pt idx="0">
                  <c:v>66420000</c:v>
                </c:pt>
                <c:pt idx="1">
                  <c:v>32539158</c:v>
                </c:pt>
                <c:pt idx="2">
                  <c:v>25141685.103409998</c:v>
                </c:pt>
                <c:pt idx="3">
                  <c:v>8739156.8965900019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5-4B1B-9E8B-3F63E95D41AA}"/>
            </c:ext>
          </c:extLst>
        </c:ser>
        <c:ser>
          <c:idx val="1"/>
          <c:order val="1"/>
          <c:tx>
            <c:strRef>
              <c:f>'Центры прибыли'!$A$66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'Центры прибыли'!$B$64:$E$64</c:f>
              <c:strCache>
                <c:ptCount val="4"/>
                <c:pt idx="0">
                  <c:v>Выручка</c:v>
                </c:pt>
                <c:pt idx="1">
                  <c:v>Переменные расходы</c:v>
                </c:pt>
                <c:pt idx="2">
                  <c:v>Постоянные расходы+Налоги</c:v>
                </c:pt>
                <c:pt idx="3">
                  <c:v>Прибыль</c:v>
                </c:pt>
              </c:strCache>
            </c:strRef>
          </c:cat>
          <c:val>
            <c:numRef>
              <c:f>'Центры прибыли'!$B$66:$E$66</c:f>
            </c:numRef>
          </c:val>
          <c:extLst>
            <c:ext xmlns:c16="http://schemas.microsoft.com/office/drawing/2014/chart" uri="{C3380CC4-5D6E-409C-BE32-E72D297353CC}">
              <c16:uniqueId val="{00000001-6ED5-4B1B-9E8B-3F63E95D41AA}"/>
            </c:ext>
          </c:extLst>
        </c:ser>
        <c:ser>
          <c:idx val="2"/>
          <c:order val="2"/>
          <c:tx>
            <c:strRef>
              <c:f>'Центры прибыли'!$A$67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'Центры прибыли'!$B$64:$E$64</c:f>
              <c:strCache>
                <c:ptCount val="4"/>
                <c:pt idx="0">
                  <c:v>Выручка</c:v>
                </c:pt>
                <c:pt idx="1">
                  <c:v>Переменные расходы</c:v>
                </c:pt>
                <c:pt idx="2">
                  <c:v>Постоянные расходы+Налоги</c:v>
                </c:pt>
                <c:pt idx="3">
                  <c:v>Прибыль</c:v>
                </c:pt>
              </c:strCache>
            </c:strRef>
          </c:cat>
          <c:val>
            <c:numRef>
              <c:f>'Центры прибыли'!$B$67:$E$67</c:f>
            </c:numRef>
          </c:val>
          <c:extLst>
            <c:ext xmlns:c16="http://schemas.microsoft.com/office/drawing/2014/chart" uri="{C3380CC4-5D6E-409C-BE32-E72D297353CC}">
              <c16:uniqueId val="{00000002-6ED5-4B1B-9E8B-3F63E95D41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0786304"/>
        <c:axId val="160787840"/>
      </c:barChart>
      <c:catAx>
        <c:axId val="160786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787840"/>
        <c:crosses val="autoZero"/>
        <c:auto val="1"/>
        <c:lblAlgn val="ctr"/>
        <c:lblOffset val="100"/>
        <c:noMultiLvlLbl val="0"/>
      </c:catAx>
      <c:valAx>
        <c:axId val="16078784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0786304"/>
        <c:crosses val="autoZero"/>
        <c:crossBetween val="between"/>
        <c:dispUnits>
          <c:builtInUnit val="millions"/>
          <c:dispUnitsLbl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Прибыль в разрезе бизнес направлений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'Центры прибыли'!$A$65:$A$67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'Центры прибыли'!$E$65:$E$67</c:f>
              <c:numCache>
                <c:formatCode>#,##0</c:formatCode>
                <c:ptCount val="1"/>
                <c:pt idx="0">
                  <c:v>8739156.8965900019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2-45CF-996C-8789D190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891264"/>
        <c:axId val="160892800"/>
      </c:barChart>
      <c:catAx>
        <c:axId val="160891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892800"/>
        <c:crosses val="autoZero"/>
        <c:auto val="1"/>
        <c:lblAlgn val="ctr"/>
        <c:lblOffset val="100"/>
        <c:noMultiLvlLbl val="0"/>
      </c:catAx>
      <c:valAx>
        <c:axId val="16089280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0891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</a:t>
            </a:r>
            <a:r>
              <a:rPr lang="ru-RU" sz="1100" baseline="0"/>
              <a:t> прибыли по бизнес направлениям</a:t>
            </a:r>
            <a:endParaRPr lang="ru-RU" sz="1100"/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'Центры прибыли'!$A$65:$A$67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'Центры прибыли'!$E$65:$E$67</c:f>
              <c:numCache>
                <c:formatCode>#,##0</c:formatCode>
                <c:ptCount val="1"/>
                <c:pt idx="0">
                  <c:v>8739156.8965900019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1-4130-84AF-D32B71E02C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Расчет</a:t>
            </a:r>
            <a:r>
              <a:rPr lang="ru-RU" sz="1100" baseline="0"/>
              <a:t> точки безубыточности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'Центры прибыли'!$C$5:$L$5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'Центры прибыли'!$C$15:$L$15</c:f>
              <c:numCache>
                <c:formatCode>#,##0</c:formatCode>
                <c:ptCount val="10"/>
                <c:pt idx="0">
                  <c:v>-18045726.064724747</c:v>
                </c:pt>
                <c:pt idx="1">
                  <c:v>-15069627.957911998</c:v>
                </c:pt>
                <c:pt idx="2">
                  <c:v>-12093529.851099247</c:v>
                </c:pt>
                <c:pt idx="3">
                  <c:v>-9117431.7442864981</c:v>
                </c:pt>
                <c:pt idx="4">
                  <c:v>-6141333.6374737471</c:v>
                </c:pt>
                <c:pt idx="5">
                  <c:v>-3165235.5306609971</c:v>
                </c:pt>
                <c:pt idx="6">
                  <c:v>-189137.42384824436</c:v>
                </c:pt>
                <c:pt idx="7">
                  <c:v>2786960.6829645005</c:v>
                </c:pt>
                <c:pt idx="8">
                  <c:v>5763058.7897772538</c:v>
                </c:pt>
                <c:pt idx="9">
                  <c:v>8739156.8965900019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AA6-AB2C-EEA927702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952704"/>
        <c:axId val="160954240"/>
      </c:barChart>
      <c:catAx>
        <c:axId val="16095270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160954240"/>
        <c:crosses val="autoZero"/>
        <c:auto val="1"/>
        <c:lblAlgn val="ctr"/>
        <c:lblOffset val="100"/>
        <c:noMultiLvlLbl val="0"/>
      </c:catAx>
      <c:valAx>
        <c:axId val="16095424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0952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Анализ рисков бизнеса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'Анализ чувствительности'!$A$5:$A$8</c:f>
              <c:strCache>
                <c:ptCount val="4"/>
                <c:pt idx="0">
                  <c:v>Запас прочности по ценам и объему продаж</c:v>
                </c:pt>
                <c:pt idx="1">
                  <c:v>Запас прочности по себестоимости</c:v>
                </c:pt>
                <c:pt idx="2">
                  <c:v>Запас прочности по постоянным расходам</c:v>
                </c:pt>
                <c:pt idx="3">
                  <c:v>Запас прочности по кредитной нагрузке</c:v>
                </c:pt>
              </c:strCache>
            </c:strRef>
          </c:cat>
          <c:val>
            <c:numRef>
              <c:f>'Анализ чувствительности'!$B$5:$B$8</c:f>
              <c:numCache>
                <c:formatCode>0%</c:formatCode>
                <c:ptCount val="4"/>
                <c:pt idx="0">
                  <c:v>0.25793800805157097</c:v>
                </c:pt>
                <c:pt idx="1">
                  <c:v>0.26857354134947187</c:v>
                </c:pt>
                <c:pt idx="2">
                  <c:v>0.41609034247436627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E8-4C41-9E59-B1F5498BB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27072"/>
        <c:axId val="161857536"/>
      </c:barChart>
      <c:catAx>
        <c:axId val="161827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1857536"/>
        <c:crosses val="autoZero"/>
        <c:auto val="1"/>
        <c:lblAlgn val="ctr"/>
        <c:lblOffset val="100"/>
        <c:noMultiLvlLbl val="0"/>
      </c:catAx>
      <c:valAx>
        <c:axId val="1618575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1827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Анализ запаса</a:t>
            </a:r>
            <a:r>
              <a:rPr lang="ru-RU" sz="1100" baseline="0"/>
              <a:t> прочности, кв.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'Анализ чувствительности'!$A$5:$A$8</c:f>
              <c:strCache>
                <c:ptCount val="4"/>
                <c:pt idx="0">
                  <c:v>Запас прочности по ценам и объему продаж</c:v>
                </c:pt>
                <c:pt idx="1">
                  <c:v>Запас прочности по себестоимости</c:v>
                </c:pt>
                <c:pt idx="2">
                  <c:v>Запас прочности по постоянным расходам</c:v>
                </c:pt>
                <c:pt idx="3">
                  <c:v>Запас прочности по кредитной нагрузке</c:v>
                </c:pt>
              </c:strCache>
            </c:strRef>
          </c:cat>
          <c:val>
            <c:numRef>
              <c:f>'Анализ чувствительности'!$C$5:$C$8</c:f>
              <c:numCache>
                <c:formatCode>#,##0</c:formatCode>
                <c:ptCount val="4"/>
                <c:pt idx="0">
                  <c:v>17132242.494785342</c:v>
                </c:pt>
                <c:pt idx="1">
                  <c:v>8739156.8965899982</c:v>
                </c:pt>
                <c:pt idx="2">
                  <c:v>8739156.8965900019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4-489E-BF07-F3709DFB54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1563008"/>
        <c:axId val="161564544"/>
      </c:barChart>
      <c:catAx>
        <c:axId val="161563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1564544"/>
        <c:crosses val="autoZero"/>
        <c:auto val="1"/>
        <c:lblAlgn val="ctr"/>
        <c:lblOffset val="100"/>
        <c:noMultiLvlLbl val="0"/>
      </c:catAx>
      <c:valAx>
        <c:axId val="16156454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563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Динамика инвестиций, руб. в мес.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'Параметры инвестиции'!$A$15</c:f>
              <c:strCache>
                <c:ptCount val="1"/>
                <c:pt idx="0">
                  <c:v>Инвестиции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'Параметры инвестиции'!$C$15:$H$15</c:f>
              <c:numCache>
                <c:formatCode>#,##0</c:formatCode>
                <c:ptCount val="6"/>
                <c:pt idx="0">
                  <c:v>6842875.7782630194</c:v>
                </c:pt>
                <c:pt idx="1">
                  <c:v>11195136.4</c:v>
                </c:pt>
                <c:pt idx="2">
                  <c:v>26816705.289606251</c:v>
                </c:pt>
                <c:pt idx="3">
                  <c:v>17320797.389606249</c:v>
                </c:pt>
                <c:pt idx="4">
                  <c:v>10420797.389606249</c:v>
                </c:pt>
                <c:pt idx="5">
                  <c:v>10420797.389606249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3-489A-A9BC-99176927D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924992"/>
        <c:axId val="161935360"/>
      </c:barChart>
      <c:lineChart>
        <c:grouping val="standard"/>
        <c:varyColors val="0"/>
        <c:ser>
          <c:idx val="1"/>
          <c:order val="1"/>
          <c:tx>
            <c:strRef>
              <c:f>'Параметры инвестиции'!$A$17</c:f>
              <c:strCache>
                <c:ptCount val="1"/>
                <c:pt idx="0">
                  <c:v>Инвестиции накопленным итогом</c:v>
                </c:pt>
              </c:strCache>
            </c:strRef>
          </c:tx>
          <c:spPr>
            <a:ln w="63500">
              <a:solidFill>
                <a:srgbClr val="00B0F0"/>
              </a:solidFill>
            </a:ln>
          </c:spPr>
          <c:marker>
            <c:symbol val="circle"/>
            <c:size val="12"/>
            <c:spPr>
              <a:solidFill>
                <a:schemeClr val="bg1"/>
              </a:solidFill>
              <a:ln w="34925">
                <a:solidFill>
                  <a:srgbClr val="00B0F0"/>
                </a:solidFill>
              </a:ln>
            </c:spPr>
          </c:marker>
          <c:val>
            <c:numRef>
              <c:f>'Параметры инвестиции'!$C$17:$H$17</c:f>
              <c:numCache>
                <c:formatCode>#,##0</c:formatCode>
                <c:ptCount val="6"/>
                <c:pt idx="0">
                  <c:v>6842875.7782630194</c:v>
                </c:pt>
                <c:pt idx="1">
                  <c:v>18038012.17826302</c:v>
                </c:pt>
                <c:pt idx="2">
                  <c:v>44854717.467869267</c:v>
                </c:pt>
                <c:pt idx="3">
                  <c:v>62175514.857475519</c:v>
                </c:pt>
                <c:pt idx="4">
                  <c:v>72596312.247081771</c:v>
                </c:pt>
                <c:pt idx="5">
                  <c:v>83017109.636688024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3-489A-A9BC-99176927D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24992"/>
        <c:axId val="161935360"/>
      </c:lineChart>
      <c:catAx>
        <c:axId val="16192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61935360"/>
        <c:crosses val="autoZero"/>
        <c:auto val="1"/>
        <c:lblAlgn val="ctr"/>
        <c:lblOffset val="100"/>
        <c:noMultiLvlLbl val="0"/>
      </c:catAx>
      <c:valAx>
        <c:axId val="16193536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924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План инвестиций, руб.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Инвестиции!$B$21:$B$30</c:f>
              <c:strCache>
                <c:ptCount val="10"/>
                <c:pt idx="0">
                  <c:v>Депозит по аренде цеха на 6 месяцев</c:v>
                </c:pt>
                <c:pt idx="1">
                  <c:v>Депозит по аренде офиса на 3 месяца</c:v>
                </c:pt>
                <c:pt idx="2">
                  <c:v>Расчет инвестиций в цех (оборудование, инструмент, мебель)</c:v>
                </c:pt>
                <c:pt idx="3">
                  <c:v>Покупка автотранспортных средств</c:v>
                </c:pt>
                <c:pt idx="4">
                  <c:v>Расчет инвестиций в офис (мебель и оргтехника)</c:v>
                </c:pt>
                <c:pt idx="5">
                  <c:v>Подготовительные работы</c:v>
                </c:pt>
                <c:pt idx="6">
                  <c:v>Маркетинг и реклама</c:v>
                </c:pt>
                <c:pt idx="7">
                  <c:v>Прочие, 10% от инвестиций выше</c:v>
                </c:pt>
                <c:pt idx="8">
                  <c:v>Оборотный капитал</c:v>
                </c:pt>
                <c:pt idx="9">
                  <c:v>Запас денег на покрытие кассовых разрывов</c:v>
                </c:pt>
              </c:strCache>
            </c:strRef>
          </c:cat>
          <c:val>
            <c:numRef>
              <c:f>Инвестиции!$C$21:$C$30</c:f>
              <c:numCache>
                <c:formatCode>#,##0</c:formatCode>
                <c:ptCount val="10"/>
                <c:pt idx="0">
                  <c:v>3156600</c:v>
                </c:pt>
                <c:pt idx="1">
                  <c:v>241857</c:v>
                </c:pt>
                <c:pt idx="2">
                  <c:v>14954525</c:v>
                </c:pt>
                <c:pt idx="3">
                  <c:v>13500000</c:v>
                </c:pt>
                <c:pt idx="4">
                  <c:v>447266</c:v>
                </c:pt>
                <c:pt idx="5">
                  <c:v>300000</c:v>
                </c:pt>
                <c:pt idx="6">
                  <c:v>300000</c:v>
                </c:pt>
                <c:pt idx="7">
                  <c:v>3290024.8000000003</c:v>
                </c:pt>
                <c:pt idx="8">
                  <c:v>41683189.558424994</c:v>
                </c:pt>
                <c:pt idx="9">
                  <c:v>5143647.2782630194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3-4C84-89F1-18753BED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160640"/>
        <c:axId val="162162176"/>
      </c:barChart>
      <c:catAx>
        <c:axId val="1621606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2162176"/>
        <c:crosses val="autoZero"/>
        <c:auto val="1"/>
        <c:lblAlgn val="ctr"/>
        <c:lblOffset val="100"/>
        <c:noMultiLvlLbl val="0"/>
      </c:catAx>
      <c:valAx>
        <c:axId val="162162176"/>
        <c:scaling>
          <c:orientation val="minMax"/>
        </c:scaling>
        <c:delete val="0"/>
        <c:axPos val="t"/>
        <c:numFmt formatCode="#,##0" sourceLinked="1"/>
        <c:majorTickMark val="out"/>
        <c:minorTickMark val="none"/>
        <c:tickLblPos val="nextTo"/>
        <c:crossAx val="162160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инвестиционных вложений, %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Инвестиции!$B$21:$B$30</c:f>
              <c:strCache>
                <c:ptCount val="10"/>
                <c:pt idx="0">
                  <c:v>Депозит по аренде цеха на 6 месяцев</c:v>
                </c:pt>
                <c:pt idx="1">
                  <c:v>Депозит по аренде офиса на 3 месяца</c:v>
                </c:pt>
                <c:pt idx="2">
                  <c:v>Расчет инвестиций в цех (оборудование, инструмент, мебель)</c:v>
                </c:pt>
                <c:pt idx="3">
                  <c:v>Покупка автотранспортных средств</c:v>
                </c:pt>
                <c:pt idx="4">
                  <c:v>Расчет инвестиций в офис (мебель и оргтехника)</c:v>
                </c:pt>
                <c:pt idx="5">
                  <c:v>Подготовительные работы</c:v>
                </c:pt>
                <c:pt idx="6">
                  <c:v>Маркетинг и реклама</c:v>
                </c:pt>
                <c:pt idx="7">
                  <c:v>Прочие, 10% от инвестиций выше</c:v>
                </c:pt>
                <c:pt idx="8">
                  <c:v>Оборотный капитал</c:v>
                </c:pt>
                <c:pt idx="9">
                  <c:v>Запас денег на покрытие кассовых разрывов</c:v>
                </c:pt>
              </c:strCache>
            </c:strRef>
          </c:cat>
          <c:val>
            <c:numRef>
              <c:f>Инвестиции!$C$21:$C$30</c:f>
              <c:numCache>
                <c:formatCode>#,##0</c:formatCode>
                <c:ptCount val="10"/>
                <c:pt idx="0">
                  <c:v>3156600</c:v>
                </c:pt>
                <c:pt idx="1">
                  <c:v>241857</c:v>
                </c:pt>
                <c:pt idx="2">
                  <c:v>14954525</c:v>
                </c:pt>
                <c:pt idx="3">
                  <c:v>13500000</c:v>
                </c:pt>
                <c:pt idx="4">
                  <c:v>447266</c:v>
                </c:pt>
                <c:pt idx="5">
                  <c:v>300000</c:v>
                </c:pt>
                <c:pt idx="6">
                  <c:v>300000</c:v>
                </c:pt>
                <c:pt idx="7">
                  <c:v>3290024.8000000003</c:v>
                </c:pt>
                <c:pt idx="8">
                  <c:v>41683189.558424994</c:v>
                </c:pt>
                <c:pt idx="9">
                  <c:v>5143647.2782630194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6-4A96-A2D2-8CAF7EF362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Источники финансирования основных активов, руб.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Финансирование!$B$21:$B$22</c:f>
              <c:strCache>
                <c:ptCount val="2"/>
                <c:pt idx="0">
                  <c:v>Собственные средства</c:v>
                </c:pt>
                <c:pt idx="1">
                  <c:v>Кредит</c:v>
                </c:pt>
              </c:strCache>
            </c:strRef>
          </c:cat>
          <c:val>
            <c:numRef>
              <c:f>Финансирование!$C$21:$C$22</c:f>
              <c:numCache>
                <c:formatCode>#,##0</c:formatCode>
                <c:ptCount val="2"/>
                <c:pt idx="0">
                  <c:v>77873462.358424991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C-48DF-B23D-45ACDDB71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972992"/>
        <c:axId val="161974528"/>
      </c:barChart>
      <c:catAx>
        <c:axId val="161972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1974528"/>
        <c:crosses val="autoZero"/>
        <c:auto val="1"/>
        <c:lblAlgn val="ctr"/>
        <c:lblOffset val="100"/>
        <c:noMultiLvlLbl val="0"/>
      </c:catAx>
      <c:valAx>
        <c:axId val="16197452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972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финансирования, %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Финансирование!$B$21:$B$22</c:f>
              <c:strCache>
                <c:ptCount val="2"/>
                <c:pt idx="0">
                  <c:v>Собственные средства</c:v>
                </c:pt>
                <c:pt idx="1">
                  <c:v>Кредит</c:v>
                </c:pt>
              </c:strCache>
            </c:strRef>
          </c:cat>
          <c:val>
            <c:numRef>
              <c:f>Финансирование!$C$21:$C$22</c:f>
              <c:numCache>
                <c:formatCode>#,##0</c:formatCode>
                <c:ptCount val="2"/>
                <c:pt idx="0">
                  <c:v>77873462.358424991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6-4A4C-9F1C-E17BB2BDEA1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График платежей по кредиту, млн. руб.</a:t>
            </a:r>
            <a:r>
              <a:rPr lang="ru-RU" sz="1100" baseline="0"/>
              <a:t> в кв.</a:t>
            </a:r>
            <a:endParaRPr lang="ru-RU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>
              <a:solidFill>
                <a:srgbClr val="00B0F0"/>
              </a:solidFill>
            </a:ln>
          </c:spPr>
          <c:marker>
            <c:symbol val="circle"/>
            <c:size val="11"/>
            <c:spPr>
              <a:solidFill>
                <a:schemeClr val="bg1"/>
              </a:solidFill>
              <a:ln w="34925">
                <a:solidFill>
                  <a:srgbClr val="00B0F0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'Параметры финансирование'!$F$29:$Y$29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17-424C-A560-8D939A624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04832"/>
        <c:axId val="162106368"/>
      </c:lineChart>
      <c:catAx>
        <c:axId val="162104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2106368"/>
        <c:crosses val="autoZero"/>
        <c:auto val="1"/>
        <c:lblAlgn val="ctr"/>
        <c:lblOffset val="100"/>
        <c:noMultiLvlLbl val="0"/>
      </c:catAx>
      <c:valAx>
        <c:axId val="16210636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104832"/>
        <c:crosses val="autoZero"/>
        <c:crossBetween val="between"/>
        <c:dispUnits>
          <c:builtInUnit val="million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Штатное расписание компании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Процессы!$D$5:$D$18</c:f>
              <c:strCache>
                <c:ptCount val="10"/>
                <c:pt idx="0">
                  <c:v>Производственный персонал</c:v>
                </c:pt>
                <c:pt idx="1">
                  <c:v>Руководитель отдела продаж</c:v>
                </c:pt>
                <c:pt idx="2">
                  <c:v>Менеджер по продажам</c:v>
                </c:pt>
                <c:pt idx="3">
                  <c:v>Генеральный директор</c:v>
                </c:pt>
                <c:pt idx="4">
                  <c:v>Главный бухгалтер</c:v>
                </c:pt>
                <c:pt idx="5">
                  <c:v>Юрист</c:v>
                </c:pt>
                <c:pt idx="6">
                  <c:v>Системный администратор</c:v>
                </c:pt>
                <c:pt idx="7">
                  <c:v>Специалист по закупке</c:v>
                </c:pt>
                <c:pt idx="8">
                  <c:v>HRBR</c:v>
                </c:pt>
                <c:pt idx="9">
                  <c:v>Уборщица </c:v>
                </c:pt>
              </c:strCache>
            </c:strRef>
          </c:cat>
          <c:val>
            <c:numRef>
              <c:f>Процессы!$E$5:$E$18</c:f>
              <c:numCache>
                <c:formatCode>#,##0</c:formatCode>
                <c:ptCount val="10"/>
                <c:pt idx="0">
                  <c:v>32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F-4689-94D8-6631899F7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34752"/>
        <c:axId val="160636288"/>
      </c:barChart>
      <c:catAx>
        <c:axId val="1606347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60636288"/>
        <c:crosses val="autoZero"/>
        <c:auto val="1"/>
        <c:lblAlgn val="ctr"/>
        <c:lblOffset val="100"/>
        <c:noMultiLvlLbl val="0"/>
      </c:catAx>
      <c:valAx>
        <c:axId val="160636288"/>
        <c:scaling>
          <c:orientation val="minMax"/>
          <c:min val="0"/>
        </c:scaling>
        <c:delete val="0"/>
        <c:axPos val="b"/>
        <c:numFmt formatCode="#,##0" sourceLinked="1"/>
        <c:majorTickMark val="out"/>
        <c:minorTickMark val="none"/>
        <c:tickLblPos val="nextTo"/>
        <c:crossAx val="160634752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Затраты на оплату труда, руб. в мес.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Процессы!$J$5:$J$18</c:f>
              <c:strCache>
                <c:ptCount val="10"/>
                <c:pt idx="0">
                  <c:v>Производственный персонал</c:v>
                </c:pt>
                <c:pt idx="1">
                  <c:v>Руководитель отдела продаж</c:v>
                </c:pt>
                <c:pt idx="2">
                  <c:v>Менеджер по продажам</c:v>
                </c:pt>
                <c:pt idx="3">
                  <c:v>Генеральный директор</c:v>
                </c:pt>
                <c:pt idx="4">
                  <c:v>Главный бухгалтер</c:v>
                </c:pt>
                <c:pt idx="5">
                  <c:v>Юрист</c:v>
                </c:pt>
                <c:pt idx="6">
                  <c:v>Системный администратор</c:v>
                </c:pt>
                <c:pt idx="7">
                  <c:v>Специалист по закупке</c:v>
                </c:pt>
                <c:pt idx="8">
                  <c:v>HRBR</c:v>
                </c:pt>
                <c:pt idx="9">
                  <c:v>Уборщица </c:v>
                </c:pt>
              </c:strCache>
            </c:strRef>
          </c:cat>
          <c:val>
            <c:numRef>
              <c:f>Процессы!$L$5:$L$18</c:f>
              <c:numCache>
                <c:formatCode>#,##0</c:formatCode>
                <c:ptCount val="10"/>
                <c:pt idx="0">
                  <c:v>4457013</c:v>
                </c:pt>
                <c:pt idx="1">
                  <c:v>150575.33000000002</c:v>
                </c:pt>
                <c:pt idx="2">
                  <c:v>127988.31</c:v>
                </c:pt>
                <c:pt idx="3">
                  <c:v>376436.36</c:v>
                </c:pt>
                <c:pt idx="4">
                  <c:v>240919.48</c:v>
                </c:pt>
                <c:pt idx="5">
                  <c:v>203275.32</c:v>
                </c:pt>
                <c:pt idx="6">
                  <c:v>195746.75</c:v>
                </c:pt>
                <c:pt idx="7">
                  <c:v>138528.57</c:v>
                </c:pt>
                <c:pt idx="8">
                  <c:v>225862.34</c:v>
                </c:pt>
                <c:pt idx="9">
                  <c:v>90345.459999999992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6-4949-B7E0-5B3F34223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44096"/>
        <c:axId val="160666368"/>
      </c:barChart>
      <c:catAx>
        <c:axId val="1606440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60666368"/>
        <c:crosses val="autoZero"/>
        <c:auto val="1"/>
        <c:lblAlgn val="ctr"/>
        <c:lblOffset val="100"/>
        <c:noMultiLvlLbl val="0"/>
      </c:catAx>
      <c:valAx>
        <c:axId val="16066636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crossAx val="160644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Соотношение цен,. руб.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Доходы'!$A$15:$A$17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Доходы'!$C$15:$C$17</c:f>
              <c:numCache>
                <c:formatCode>#,##0</c:formatCode>
                <c:ptCount val="1"/>
                <c:pt idx="0">
                  <c:v>3690000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2-4680-9DC6-C75D1D1F5D7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753152"/>
        <c:axId val="162768384"/>
      </c:barChart>
      <c:catAx>
        <c:axId val="16275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2768384"/>
        <c:crosses val="autoZero"/>
        <c:auto val="1"/>
        <c:lblAlgn val="ctr"/>
        <c:lblOffset val="100"/>
        <c:noMultiLvlLbl val="0"/>
      </c:catAx>
      <c:valAx>
        <c:axId val="16276838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753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/>
              <a:t>Соотношение объемов продаж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Доходы'!$A$21:$A$23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Доходы'!$C$21:$C$23</c:f>
              <c:numCache>
                <c:formatCode>#,##0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E-4AEB-A462-003963DD8FB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800000"/>
        <c:axId val="162802688"/>
      </c:barChart>
      <c:catAx>
        <c:axId val="162800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2802688"/>
        <c:crosses val="autoZero"/>
        <c:auto val="1"/>
        <c:lblAlgn val="ctr"/>
        <c:lblOffset val="100"/>
        <c:noMultiLvlLbl val="0"/>
      </c:catAx>
      <c:valAx>
        <c:axId val="16280268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800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ru-RU" sz="1050"/>
              <a:t>Прогноз динамики загрузки,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/>
          </c:spPr>
          <c:marker>
            <c:symbol val="circle"/>
            <c:size val="11"/>
            <c:spPr>
              <a:solidFill>
                <a:schemeClr val="bg1"/>
              </a:solidFill>
              <a:ln w="31750">
                <a:solidFill>
                  <a:schemeClr val="accent1">
                    <a:shade val="95000"/>
                    <a:satMod val="105000"/>
                  </a:schemeClr>
                </a:solidFill>
              </a:ln>
            </c:spPr>
          </c:marker>
          <c:val>
            <c:numRef>
              <c:f>'Параметры Доходы'!$F$18:$Y$18</c:f>
              <c:numCache>
                <c:formatCode>0%</c:formatCode>
                <c:ptCount val="20"/>
                <c:pt idx="0">
                  <c:v>0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7-44E8-A600-B1CDCC929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68224"/>
        <c:axId val="162469760"/>
      </c:lineChart>
      <c:catAx>
        <c:axId val="162468224"/>
        <c:scaling>
          <c:orientation val="minMax"/>
        </c:scaling>
        <c:delete val="0"/>
        <c:axPos val="b"/>
        <c:title>
          <c:overlay val="0"/>
        </c:title>
        <c:majorTickMark val="out"/>
        <c:minorTickMark val="none"/>
        <c:tickLblPos val="nextTo"/>
        <c:crossAx val="162469760"/>
        <c:crosses val="autoZero"/>
        <c:auto val="1"/>
        <c:lblAlgn val="ctr"/>
        <c:lblOffset val="100"/>
        <c:noMultiLvlLbl val="0"/>
      </c:catAx>
      <c:valAx>
        <c:axId val="162469760"/>
        <c:scaling>
          <c:orientation val="minMax"/>
        </c:scaling>
        <c:delete val="0"/>
        <c:axPos val="l"/>
        <c:title>
          <c:overlay val="0"/>
        </c:title>
        <c:numFmt formatCode="0%" sourceLinked="1"/>
        <c:majorTickMark val="out"/>
        <c:minorTickMark val="none"/>
        <c:tickLblPos val="nextTo"/>
        <c:crossAx val="1624682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План продаж, руб. в кв.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'Параметры Доходы'!$A$5</c:f>
              <c:strCache>
                <c:ptCount val="1"/>
                <c:pt idx="0">
                  <c:v>Печь "ХЛЕБОПЕЧКА"</c:v>
                </c:pt>
              </c:strCache>
            </c:strRef>
          </c:tx>
          <c:invertIfNegative val="0"/>
          <c:val>
            <c:numRef>
              <c:f>'Параметры Доходы'!$F$5:$Y$5</c:f>
              <c:numCache>
                <c:formatCode>#,##0</c:formatCode>
                <c:ptCount val="20"/>
                <c:pt idx="0">
                  <c:v>0</c:v>
                </c:pt>
                <c:pt idx="1">
                  <c:v>39852000</c:v>
                </c:pt>
                <c:pt idx="2">
                  <c:v>46494000</c:v>
                </c:pt>
                <c:pt idx="3">
                  <c:v>53136000</c:v>
                </c:pt>
                <c:pt idx="4">
                  <c:v>59778000</c:v>
                </c:pt>
                <c:pt idx="5">
                  <c:v>66420000</c:v>
                </c:pt>
                <c:pt idx="6">
                  <c:v>66420000</c:v>
                </c:pt>
                <c:pt idx="7">
                  <c:v>66420000</c:v>
                </c:pt>
                <c:pt idx="8">
                  <c:v>66420000</c:v>
                </c:pt>
                <c:pt idx="9">
                  <c:v>66420000</c:v>
                </c:pt>
                <c:pt idx="10">
                  <c:v>66420000</c:v>
                </c:pt>
                <c:pt idx="11">
                  <c:v>66420000</c:v>
                </c:pt>
                <c:pt idx="12">
                  <c:v>66420000</c:v>
                </c:pt>
                <c:pt idx="13">
                  <c:v>66420000</c:v>
                </c:pt>
                <c:pt idx="14">
                  <c:v>66420000</c:v>
                </c:pt>
                <c:pt idx="15">
                  <c:v>66420000</c:v>
                </c:pt>
                <c:pt idx="16">
                  <c:v>66420000</c:v>
                </c:pt>
                <c:pt idx="17">
                  <c:v>66420000</c:v>
                </c:pt>
                <c:pt idx="18">
                  <c:v>66420000</c:v>
                </c:pt>
                <c:pt idx="19">
                  <c:v>66420000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E-4CE3-AA2E-C2E874BEDAAC}"/>
            </c:ext>
          </c:extLst>
        </c:ser>
        <c:ser>
          <c:idx val="1"/>
          <c:order val="1"/>
          <c:tx>
            <c:strRef>
              <c:f>'Параметры Доходы'!$A$6</c:f>
              <c:strCache>
                <c:ptCount val="1"/>
              </c:strCache>
            </c:strRef>
          </c:tx>
          <c:spPr>
            <a:solidFill>
              <a:schemeClr val="accent1">
                <a:alpha val="53000"/>
              </a:schemeClr>
            </a:solidFill>
            <a:effectLst>
              <a:glow rad="127000">
                <a:schemeClr val="accent1">
                  <a:alpha val="0"/>
                </a:schemeClr>
              </a:glow>
            </a:effectLst>
          </c:spPr>
          <c:invertIfNegative val="0"/>
          <c:val>
            <c:numRef>
              <c:f>'Параметры Доходы'!$F$6:$Y$6</c:f>
            </c:numRef>
          </c:val>
          <c:extLst>
            <c:ext xmlns:c16="http://schemas.microsoft.com/office/drawing/2014/chart" uri="{C3380CC4-5D6E-409C-BE32-E72D297353CC}">
              <c16:uniqueId val="{00000001-967E-4CE3-AA2E-C2E874BEDAAC}"/>
            </c:ext>
          </c:extLst>
        </c:ser>
        <c:ser>
          <c:idx val="2"/>
          <c:order val="2"/>
          <c:tx>
            <c:strRef>
              <c:f>'Параметры Доходы'!$A$7</c:f>
              <c:strCache>
                <c:ptCount val="1"/>
              </c:strCache>
            </c:strRef>
          </c:tx>
          <c:spPr>
            <a:solidFill>
              <a:schemeClr val="accent1">
                <a:alpha val="37000"/>
              </a:schemeClr>
            </a:solidFill>
          </c:spPr>
          <c:invertIfNegative val="0"/>
          <c:val>
            <c:numRef>
              <c:f>'Параметры Доходы'!$F$7:$Y$7</c:f>
            </c:numRef>
          </c:val>
          <c:extLst>
            <c:ext xmlns:c16="http://schemas.microsoft.com/office/drawing/2014/chart" uri="{C3380CC4-5D6E-409C-BE32-E72D297353CC}">
              <c16:uniqueId val="{00000002-967E-4CE3-AA2E-C2E874BE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62601984"/>
        <c:axId val="162603776"/>
      </c:barChart>
      <c:catAx>
        <c:axId val="162601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2603776"/>
        <c:crosses val="autoZero"/>
        <c:auto val="1"/>
        <c:lblAlgn val="ctr"/>
        <c:lblOffset val="100"/>
        <c:noMultiLvlLbl val="0"/>
      </c:catAx>
      <c:valAx>
        <c:axId val="16260377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6019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План продаж на 5 лет, руб.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47625"/>
          </c:spPr>
          <c:marker>
            <c:symbol val="circle"/>
            <c:size val="7"/>
            <c:spPr>
              <a:solidFill>
                <a:schemeClr val="bg1"/>
              </a:solidFill>
            </c:spPr>
          </c:marker>
          <c:val>
            <c:numRef>
              <c:f>'Параметры Доходы'!$F$8:$Y$8</c:f>
              <c:numCache>
                <c:formatCode>#,##0</c:formatCode>
                <c:ptCount val="20"/>
                <c:pt idx="0">
                  <c:v>0</c:v>
                </c:pt>
                <c:pt idx="1">
                  <c:v>39852000</c:v>
                </c:pt>
                <c:pt idx="2">
                  <c:v>46494000</c:v>
                </c:pt>
                <c:pt idx="3">
                  <c:v>53136000</c:v>
                </c:pt>
                <c:pt idx="4">
                  <c:v>59778000</c:v>
                </c:pt>
                <c:pt idx="5">
                  <c:v>66420000</c:v>
                </c:pt>
                <c:pt idx="6">
                  <c:v>66420000</c:v>
                </c:pt>
                <c:pt idx="7">
                  <c:v>66420000</c:v>
                </c:pt>
                <c:pt idx="8">
                  <c:v>66420000</c:v>
                </c:pt>
                <c:pt idx="9">
                  <c:v>66420000</c:v>
                </c:pt>
                <c:pt idx="10">
                  <c:v>66420000</c:v>
                </c:pt>
                <c:pt idx="11">
                  <c:v>66420000</c:v>
                </c:pt>
                <c:pt idx="12">
                  <c:v>66420000</c:v>
                </c:pt>
                <c:pt idx="13">
                  <c:v>66420000</c:v>
                </c:pt>
                <c:pt idx="14">
                  <c:v>66420000</c:v>
                </c:pt>
                <c:pt idx="15">
                  <c:v>66420000</c:v>
                </c:pt>
                <c:pt idx="16">
                  <c:v>66420000</c:v>
                </c:pt>
                <c:pt idx="17">
                  <c:v>66420000</c:v>
                </c:pt>
                <c:pt idx="18">
                  <c:v>66420000</c:v>
                </c:pt>
                <c:pt idx="19">
                  <c:v>66420000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7-43B3-804C-8B1FF79D9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648832"/>
        <c:axId val="162650752"/>
      </c:lineChart>
      <c:catAx>
        <c:axId val="16264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2650752"/>
        <c:crosses val="autoZero"/>
        <c:auto val="1"/>
        <c:lblAlgn val="ctr"/>
        <c:lblOffset val="100"/>
        <c:noMultiLvlLbl val="0"/>
      </c:catAx>
      <c:valAx>
        <c:axId val="16265075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648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продаж, тыс. руб. в год.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Доходы'!$A$5:$A$7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Доходы'!$AA$5:$AA$7</c:f>
              <c:numCache>
                <c:formatCode>#,##0</c:formatCode>
                <c:ptCount val="1"/>
                <c:pt idx="0">
                  <c:v>265680000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2-46D2-A872-0A74F0EC43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667520"/>
        <c:axId val="162685696"/>
      </c:barChart>
      <c:catAx>
        <c:axId val="1626675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62685696"/>
        <c:crosses val="autoZero"/>
        <c:auto val="1"/>
        <c:lblAlgn val="ctr"/>
        <c:lblOffset val="100"/>
        <c:noMultiLvlLbl val="0"/>
      </c:catAx>
      <c:valAx>
        <c:axId val="16268569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crossAx val="162667520"/>
        <c:crosses val="autoZero"/>
        <c:crossBetween val="between"/>
        <c:dispUnits>
          <c:builtInUnit val="thousand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Прогноз постоянных и переменных расходов, руб.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'Параметры Расходы'!$A$5</c:f>
              <c:strCache>
                <c:ptCount val="1"/>
                <c:pt idx="0">
                  <c:v>Переменные расходы</c:v>
                </c:pt>
              </c:strCache>
            </c:strRef>
          </c:tx>
          <c:invertIfNegative val="0"/>
          <c:val>
            <c:numRef>
              <c:f>'Параметры Расходы'!$F$5:$Y$5</c:f>
              <c:numCache>
                <c:formatCode>#,##0</c:formatCode>
                <c:ptCount val="20"/>
                <c:pt idx="0">
                  <c:v>0</c:v>
                </c:pt>
                <c:pt idx="1">
                  <c:v>19523494.800000001</c:v>
                </c:pt>
                <c:pt idx="2">
                  <c:v>22777410.600000001</c:v>
                </c:pt>
                <c:pt idx="3">
                  <c:v>26031326.399999999</c:v>
                </c:pt>
                <c:pt idx="4">
                  <c:v>29285242.199999999</c:v>
                </c:pt>
                <c:pt idx="5">
                  <c:v>32539158</c:v>
                </c:pt>
                <c:pt idx="6">
                  <c:v>32539158</c:v>
                </c:pt>
                <c:pt idx="7">
                  <c:v>32539158</c:v>
                </c:pt>
                <c:pt idx="8">
                  <c:v>32539158</c:v>
                </c:pt>
                <c:pt idx="9">
                  <c:v>32539158</c:v>
                </c:pt>
                <c:pt idx="10">
                  <c:v>32539158</c:v>
                </c:pt>
                <c:pt idx="11">
                  <c:v>32539158</c:v>
                </c:pt>
                <c:pt idx="12">
                  <c:v>32539158</c:v>
                </c:pt>
                <c:pt idx="13">
                  <c:v>32539158</c:v>
                </c:pt>
                <c:pt idx="14">
                  <c:v>32539158</c:v>
                </c:pt>
                <c:pt idx="15">
                  <c:v>32539158</c:v>
                </c:pt>
                <c:pt idx="16">
                  <c:v>32539158</c:v>
                </c:pt>
                <c:pt idx="17">
                  <c:v>32539158</c:v>
                </c:pt>
                <c:pt idx="18">
                  <c:v>32539158</c:v>
                </c:pt>
                <c:pt idx="19">
                  <c:v>32539158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C6D-AA19-D6ACE499AAE6}"/>
            </c:ext>
          </c:extLst>
        </c:ser>
        <c:ser>
          <c:idx val="1"/>
          <c:order val="1"/>
          <c:tx>
            <c:strRef>
              <c:f>'Параметры Расходы'!$A$13</c:f>
              <c:strCache>
                <c:ptCount val="1"/>
                <c:pt idx="0">
                  <c:v>Постоянные расходы</c:v>
                </c:pt>
              </c:strCache>
            </c:strRef>
          </c:tx>
          <c:invertIfNegative val="0"/>
          <c:val>
            <c:numRef>
              <c:f>'Параметры Расходы'!$F$13:$Y$13</c:f>
              <c:numCache>
                <c:formatCode>#,##0</c:formatCode>
                <c:ptCount val="20"/>
                <c:pt idx="0">
                  <c:v>5980028.6571156234</c:v>
                </c:pt>
                <c:pt idx="1">
                  <c:v>19406532.984343752</c:v>
                </c:pt>
                <c:pt idx="2">
                  <c:v>21003027.478649996</c:v>
                </c:pt>
                <c:pt idx="3">
                  <c:v>21003027.478649996</c:v>
                </c:pt>
                <c:pt idx="4">
                  <c:v>21003027.478649996</c:v>
                </c:pt>
                <c:pt idx="5">
                  <c:v>21003027.478649996</c:v>
                </c:pt>
                <c:pt idx="6">
                  <c:v>21003027.478649996</c:v>
                </c:pt>
                <c:pt idx="7">
                  <c:v>21003027.478649996</c:v>
                </c:pt>
                <c:pt idx="8">
                  <c:v>21003027.478649996</c:v>
                </c:pt>
                <c:pt idx="9">
                  <c:v>21003027.478649996</c:v>
                </c:pt>
                <c:pt idx="10">
                  <c:v>21003027.478649996</c:v>
                </c:pt>
                <c:pt idx="11">
                  <c:v>21003027.478649996</c:v>
                </c:pt>
                <c:pt idx="12">
                  <c:v>21003027.478649996</c:v>
                </c:pt>
                <c:pt idx="13">
                  <c:v>21003027.478649996</c:v>
                </c:pt>
                <c:pt idx="14">
                  <c:v>21003027.478649996</c:v>
                </c:pt>
                <c:pt idx="15">
                  <c:v>21003027.478649996</c:v>
                </c:pt>
                <c:pt idx="16">
                  <c:v>21003027.478649996</c:v>
                </c:pt>
                <c:pt idx="17">
                  <c:v>21003027.478649996</c:v>
                </c:pt>
                <c:pt idx="18">
                  <c:v>21003027.478649996</c:v>
                </c:pt>
                <c:pt idx="19">
                  <c:v>21003027.478649996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F-4C6D-AA19-D6ACE499A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342784"/>
        <c:axId val="162344320"/>
      </c:barChart>
      <c:catAx>
        <c:axId val="16234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2344320"/>
        <c:crosses val="autoZero"/>
        <c:auto val="1"/>
        <c:lblAlgn val="ctr"/>
        <c:lblOffset val="100"/>
        <c:noMultiLvlLbl val="0"/>
      </c:catAx>
      <c:valAx>
        <c:axId val="16234432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3427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Динамика расходов, руб. в кв.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>
              <a:solidFill>
                <a:srgbClr val="00B0F0"/>
              </a:solidFill>
            </a:ln>
          </c:spPr>
          <c:marker>
            <c:symbol val="circle"/>
            <c:size val="11"/>
            <c:spPr>
              <a:solidFill>
                <a:schemeClr val="bg1"/>
              </a:solidFill>
              <a:ln w="34925">
                <a:solidFill>
                  <a:srgbClr val="00B0F0"/>
                </a:solidFill>
              </a:ln>
            </c:spPr>
          </c:marker>
          <c:val>
            <c:numRef>
              <c:f>'Параметры Расходы'!$F$29:$Y$29</c:f>
              <c:numCache>
                <c:formatCode>#,##0</c:formatCode>
                <c:ptCount val="20"/>
                <c:pt idx="0">
                  <c:v>5980028.6571156234</c:v>
                </c:pt>
                <c:pt idx="1">
                  <c:v>38930027.784343749</c:v>
                </c:pt>
                <c:pt idx="2">
                  <c:v>43780438.078649998</c:v>
                </c:pt>
                <c:pt idx="3">
                  <c:v>47034353.878649995</c:v>
                </c:pt>
                <c:pt idx="4">
                  <c:v>50288269.678649992</c:v>
                </c:pt>
                <c:pt idx="5">
                  <c:v>53542185.478649996</c:v>
                </c:pt>
                <c:pt idx="6">
                  <c:v>53542185.478649996</c:v>
                </c:pt>
                <c:pt idx="7">
                  <c:v>53542185.478649996</c:v>
                </c:pt>
                <c:pt idx="8">
                  <c:v>53542185.478649996</c:v>
                </c:pt>
                <c:pt idx="9">
                  <c:v>53542185.478649996</c:v>
                </c:pt>
                <c:pt idx="10">
                  <c:v>53542185.478649996</c:v>
                </c:pt>
                <c:pt idx="11">
                  <c:v>53542185.478649996</c:v>
                </c:pt>
                <c:pt idx="12">
                  <c:v>53542185.478649996</c:v>
                </c:pt>
                <c:pt idx="13">
                  <c:v>53542185.478649996</c:v>
                </c:pt>
                <c:pt idx="14">
                  <c:v>53542185.478649996</c:v>
                </c:pt>
                <c:pt idx="15">
                  <c:v>53542185.478649996</c:v>
                </c:pt>
                <c:pt idx="16">
                  <c:v>53542185.478649996</c:v>
                </c:pt>
                <c:pt idx="17">
                  <c:v>53542185.478649996</c:v>
                </c:pt>
                <c:pt idx="18">
                  <c:v>53542185.478649996</c:v>
                </c:pt>
                <c:pt idx="19">
                  <c:v>53542185.478649996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8-4846-A4F9-22391E918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30976"/>
        <c:axId val="162432896"/>
      </c:lineChart>
      <c:catAx>
        <c:axId val="16243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2432896"/>
        <c:crosses val="autoZero"/>
        <c:auto val="1"/>
        <c:lblAlgn val="ctr"/>
        <c:lblOffset val="100"/>
        <c:noMultiLvlLbl val="0"/>
      </c:catAx>
      <c:valAx>
        <c:axId val="16243289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430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расходов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('Параметры Расходы'!$A$5,'Параметры Расходы'!$A$13)</c:f>
              <c:strCache>
                <c:ptCount val="2"/>
                <c:pt idx="0">
                  <c:v>Переменные расходы</c:v>
                </c:pt>
                <c:pt idx="1">
                  <c:v>Постоянные расходы</c:v>
                </c:pt>
              </c:strCache>
            </c:strRef>
          </c:cat>
          <c:val>
            <c:numRef>
              <c:f>('Параметры Расходы'!$C$5,'Параметры Расходы'!$C$13)</c:f>
              <c:numCache>
                <c:formatCode>#,##0</c:formatCode>
                <c:ptCount val="2"/>
                <c:pt idx="0">
                  <c:v>130156632</c:v>
                </c:pt>
                <c:pt idx="1">
                  <c:v>84012109.914599985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C-4B0E-B01C-82084C6B21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Переменные расходы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'Параметры Расходы'!$A$6:$A$8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'Параметры Расходы'!$C$6:$C$8</c:f>
              <c:numCache>
                <c:formatCode>#,##0</c:formatCode>
                <c:ptCount val="1"/>
                <c:pt idx="0">
                  <c:v>130156632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8-474C-BE40-AA2AFCE22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493184"/>
        <c:axId val="162494720"/>
      </c:barChart>
      <c:catAx>
        <c:axId val="162493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2494720"/>
        <c:crosses val="autoZero"/>
        <c:auto val="1"/>
        <c:lblAlgn val="ctr"/>
        <c:lblOffset val="100"/>
        <c:noMultiLvlLbl val="0"/>
      </c:catAx>
      <c:valAx>
        <c:axId val="16249472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493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 постоянных затрат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'Параметры Расходы'!$A$14:$A$25</c:f>
              <c:strCache>
                <c:ptCount val="12"/>
                <c:pt idx="0">
                  <c:v>Заработная плата</c:v>
                </c:pt>
                <c:pt idx="1">
                  <c:v>Аренда</c:v>
                </c:pt>
                <c:pt idx="2">
                  <c:v>Энергия</c:v>
                </c:pt>
                <c:pt idx="3">
                  <c:v>Вода</c:v>
                </c:pt>
                <c:pt idx="4">
                  <c:v>Вывоз ТБО</c:v>
                </c:pt>
                <c:pt idx="5">
                  <c:v>Хозяйственные расходы</c:v>
                </c:pt>
                <c:pt idx="6">
                  <c:v>Канцелярские расходы</c:v>
                </c:pt>
                <c:pt idx="7">
                  <c:v>Интернет</c:v>
                </c:pt>
                <c:pt idx="8">
                  <c:v>Телефон</c:v>
                </c:pt>
                <c:pt idx="9">
                  <c:v>Программное обеспечение</c:v>
                </c:pt>
                <c:pt idx="10">
                  <c:v>Маркетинг и реклама</c:v>
                </c:pt>
                <c:pt idx="11">
                  <c:v>Прочие расходы</c:v>
                </c:pt>
              </c:strCache>
            </c:strRef>
          </c:cat>
          <c:val>
            <c:numRef>
              <c:f>'Параметры Расходы'!$C$14:$C$25</c:f>
              <c:numCache>
                <c:formatCode>#,##0</c:formatCode>
                <c:ptCount val="12"/>
                <c:pt idx="0">
                  <c:v>74480291.039999992</c:v>
                </c:pt>
                <c:pt idx="1">
                  <c:v>7280628</c:v>
                </c:pt>
                <c:pt idx="2">
                  <c:v>450329.52</c:v>
                </c:pt>
                <c:pt idx="3">
                  <c:v>5424.12</c:v>
                </c:pt>
                <c:pt idx="4">
                  <c:v>13878.96</c:v>
                </c:pt>
                <c:pt idx="5">
                  <c:v>108000</c:v>
                </c:pt>
                <c:pt idx="6">
                  <c:v>108000</c:v>
                </c:pt>
                <c:pt idx="7">
                  <c:v>108000</c:v>
                </c:pt>
                <c:pt idx="8">
                  <c:v>108000</c:v>
                </c:pt>
                <c:pt idx="9">
                  <c:v>108000</c:v>
                </c:pt>
                <c:pt idx="10">
                  <c:v>827705.51639999985</c:v>
                </c:pt>
                <c:pt idx="11">
                  <c:v>413852.75819999992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3-48B0-8E7F-D319CD0A1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940800"/>
        <c:axId val="162942336"/>
      </c:barChart>
      <c:catAx>
        <c:axId val="1629408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2942336"/>
        <c:crosses val="autoZero"/>
        <c:auto val="1"/>
        <c:lblAlgn val="ctr"/>
        <c:lblOffset val="100"/>
        <c:noMultiLvlLbl val="0"/>
      </c:catAx>
      <c:valAx>
        <c:axId val="162942336"/>
        <c:scaling>
          <c:orientation val="minMax"/>
        </c:scaling>
        <c:delete val="0"/>
        <c:axPos val="t"/>
        <c:numFmt formatCode="#,##0" sourceLinked="1"/>
        <c:majorTickMark val="out"/>
        <c:minorTickMark val="none"/>
        <c:tickLblPos val="low"/>
        <c:crossAx val="162940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Динамика</a:t>
            </a:r>
            <a:r>
              <a:rPr lang="ru-RU" sz="1100" baseline="0"/>
              <a:t> налоговых выплат</a:t>
            </a:r>
            <a:endParaRPr lang="ru-RU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>
              <a:solidFill>
                <a:srgbClr val="00B0F0"/>
              </a:solidFill>
            </a:ln>
          </c:spPr>
          <c:marker>
            <c:symbol val="circle"/>
            <c:size val="11"/>
            <c:spPr>
              <a:solidFill>
                <a:schemeClr val="bg1"/>
              </a:solidFill>
              <a:ln w="41275">
                <a:solidFill>
                  <a:srgbClr val="00B0F0"/>
                </a:solidFill>
              </a:ln>
            </c:spPr>
          </c:marker>
          <c:val>
            <c:numRef>
              <c:f>'Параметы Налоги'!$F$9:$Y$9</c:f>
              <c:numCache>
                <c:formatCode>#,##0</c:formatCode>
                <c:ptCount val="20"/>
                <c:pt idx="0">
                  <c:v>-836381.37885260396</c:v>
                </c:pt>
                <c:pt idx="1">
                  <c:v>231164.60421770721</c:v>
                </c:pt>
                <c:pt idx="2">
                  <c:v>611100.56277499942</c:v>
                </c:pt>
                <c:pt idx="3">
                  <c:v>1673439.3959100014</c:v>
                </c:pt>
                <c:pt idx="4">
                  <c:v>2792306.3473300016</c:v>
                </c:pt>
                <c:pt idx="5">
                  <c:v>3911173.298750001</c:v>
                </c:pt>
                <c:pt idx="6">
                  <c:v>3900678.8501700005</c:v>
                </c:pt>
                <c:pt idx="7">
                  <c:v>3890184.4015900008</c:v>
                </c:pt>
                <c:pt idx="8">
                  <c:v>3879689.9530100008</c:v>
                </c:pt>
                <c:pt idx="9">
                  <c:v>3869195.5044300007</c:v>
                </c:pt>
                <c:pt idx="10">
                  <c:v>4157791.5558500011</c:v>
                </c:pt>
                <c:pt idx="11">
                  <c:v>4162822.4182700007</c:v>
                </c:pt>
                <c:pt idx="12">
                  <c:v>4159104.7577300007</c:v>
                </c:pt>
                <c:pt idx="13">
                  <c:v>4155387.097190001</c:v>
                </c:pt>
                <c:pt idx="14">
                  <c:v>4151669.436650001</c:v>
                </c:pt>
                <c:pt idx="15">
                  <c:v>4147951.7761100009</c:v>
                </c:pt>
                <c:pt idx="16">
                  <c:v>4144234.1155700013</c:v>
                </c:pt>
                <c:pt idx="17">
                  <c:v>4140516.4550300008</c:v>
                </c:pt>
                <c:pt idx="18">
                  <c:v>4136798.7944900012</c:v>
                </c:pt>
                <c:pt idx="19">
                  <c:v>4133081.1339500006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D-41B9-ABDB-EC6478C5E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42368"/>
        <c:axId val="163660928"/>
      </c:lineChart>
      <c:catAx>
        <c:axId val="163642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63660928"/>
        <c:crosses val="autoZero"/>
        <c:auto val="1"/>
        <c:lblAlgn val="ctr"/>
        <c:lblOffset val="100"/>
        <c:noMultiLvlLbl val="0"/>
      </c:catAx>
      <c:valAx>
        <c:axId val="16366092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3642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</a:t>
            </a:r>
            <a:r>
              <a:rPr lang="ru-RU" sz="1100" baseline="0"/>
              <a:t> налоговой нагрузки, в год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'Параметы Налоги'!$AB$5:$AB$8</c15:sqref>
                  </c15:fullRef>
                </c:ext>
              </c:extLst>
              <c:f>'Параметы Налоги'!$AB$5:$AB$7</c:f>
              <c:strCache>
                <c:ptCount val="3"/>
                <c:pt idx="0">
                  <c:v>Налог на прибыль</c:v>
                </c:pt>
                <c:pt idx="1">
                  <c:v>Налог на имущество</c:v>
                </c:pt>
                <c:pt idx="2">
                  <c:v>НДС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'Параметы Налоги'!$AC$5:$AC$8</c15:sqref>
                  </c15:fullRef>
                </c:ext>
              </c:extLst>
              <c:f>'Параметы Налоги'!$AC$5:$AC$7</c:f>
              <c:numCache>
                <c:formatCode>#,##0</c:formatCode>
                <c:ptCount val="3"/>
                <c:pt idx="0">
                  <c:v>7894234.0465900041</c:v>
                </c:pt>
                <c:pt idx="1">
                  <c:v>75186.771550000005</c:v>
                </c:pt>
                <c:pt idx="2">
                  <c:v>8585209.6809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A-4F0E-9410-EF2CA890B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705984"/>
        <c:axId val="163707520"/>
      </c:barChart>
      <c:catAx>
        <c:axId val="163705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3707520"/>
        <c:crosses val="autoZero"/>
        <c:auto val="1"/>
        <c:lblAlgn val="ctr"/>
        <c:lblOffset val="100"/>
        <c:noMultiLvlLbl val="0"/>
      </c:catAx>
      <c:valAx>
        <c:axId val="16370752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3705984"/>
        <c:crosses val="autoZero"/>
        <c:crossBetween val="between"/>
        <c:dispUnits>
          <c:builtInUnit val="million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Доля</a:t>
            </a:r>
            <a:r>
              <a:rPr lang="ru-RU" sz="1100" baseline="0"/>
              <a:t> налогов в выручке, %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'Параметы Налоги'!$F$44:$Y$44</c:f>
              <c:numCache>
                <c:formatCode>0%</c:formatCode>
                <c:ptCount val="20"/>
                <c:pt idx="0">
                  <c:v>0</c:v>
                </c:pt>
                <c:pt idx="1">
                  <c:v>5.8005772412352509E-3</c:v>
                </c:pt>
                <c:pt idx="2">
                  <c:v>1.3143643540564361E-2</c:v>
                </c:pt>
                <c:pt idx="3">
                  <c:v>3.1493514677619718E-2</c:v>
                </c:pt>
                <c:pt idx="4">
                  <c:v>4.6711270824216292E-2</c:v>
                </c:pt>
                <c:pt idx="5">
                  <c:v>5.888547574149354E-2</c:v>
                </c:pt>
                <c:pt idx="6">
                  <c:v>5.8727474407859089E-2</c:v>
                </c:pt>
                <c:pt idx="7">
                  <c:v>5.8569473074224644E-2</c:v>
                </c:pt>
                <c:pt idx="8">
                  <c:v>5.8411471740590193E-2</c:v>
                </c:pt>
                <c:pt idx="9">
                  <c:v>5.8253470406955749E-2</c:v>
                </c:pt>
                <c:pt idx="10">
                  <c:v>6.2598487742396888E-2</c:v>
                </c:pt>
                <c:pt idx="11">
                  <c:v>6.2674230928485411E-2</c:v>
                </c:pt>
                <c:pt idx="12">
                  <c:v>6.2618258923968689E-2</c:v>
                </c:pt>
                <c:pt idx="13">
                  <c:v>6.2562286919451982E-2</c:v>
                </c:pt>
                <c:pt idx="14">
                  <c:v>6.2506314914935274E-2</c:v>
                </c:pt>
                <c:pt idx="15">
                  <c:v>6.2450342910418559E-2</c:v>
                </c:pt>
                <c:pt idx="16">
                  <c:v>6.2394370905901858E-2</c:v>
                </c:pt>
                <c:pt idx="17">
                  <c:v>6.2338398901385136E-2</c:v>
                </c:pt>
                <c:pt idx="18">
                  <c:v>6.2282426896868429E-2</c:v>
                </c:pt>
                <c:pt idx="19">
                  <c:v>6.2226454892351714E-2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407-BF4B-1C316215A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265152"/>
        <c:axId val="162390400"/>
      </c:barChart>
      <c:catAx>
        <c:axId val="163265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2390400"/>
        <c:crosses val="autoZero"/>
        <c:auto val="1"/>
        <c:lblAlgn val="ctr"/>
        <c:lblOffset val="100"/>
        <c:noMultiLvlLbl val="0"/>
      </c:catAx>
      <c:valAx>
        <c:axId val="1623904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3265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Денежные средства на счету компании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ОДДС!$F$52:$Y$52</c:f>
              <c:numCache>
                <c:formatCode>#,##0</c:formatCode>
                <c:ptCount val="20"/>
                <c:pt idx="0">
                  <c:v>38162392.168818742</c:v>
                </c:pt>
                <c:pt idx="1">
                  <c:v>690807.6114385426</c:v>
                </c:pt>
                <c:pt idx="2">
                  <c:v>2793268.970013544</c:v>
                </c:pt>
                <c:pt idx="3">
                  <c:v>7221475.6954535469</c:v>
                </c:pt>
                <c:pt idx="4">
                  <c:v>13918899.669473551</c:v>
                </c:pt>
                <c:pt idx="5">
                  <c:v>22885540.892073557</c:v>
                </c:pt>
                <c:pt idx="6">
                  <c:v>31862676.563253559</c:v>
                </c:pt>
                <c:pt idx="7">
                  <c:v>40850306.683013566</c:v>
                </c:pt>
                <c:pt idx="8">
                  <c:v>49848431.251353569</c:v>
                </c:pt>
                <c:pt idx="9">
                  <c:v>58857050.26827357</c:v>
                </c:pt>
                <c:pt idx="10">
                  <c:v>67577073.233773574</c:v>
                </c:pt>
                <c:pt idx="11">
                  <c:v>76292065.336853579</c:v>
                </c:pt>
                <c:pt idx="12">
                  <c:v>85010775.100473583</c:v>
                </c:pt>
                <c:pt idx="13">
                  <c:v>93733202.524633586</c:v>
                </c:pt>
                <c:pt idx="14">
                  <c:v>102459347.60933359</c:v>
                </c:pt>
                <c:pt idx="15">
                  <c:v>111189210.35457359</c:v>
                </c:pt>
                <c:pt idx="16">
                  <c:v>119922790.7603536</c:v>
                </c:pt>
                <c:pt idx="17">
                  <c:v>128660088.8266736</c:v>
                </c:pt>
                <c:pt idx="18">
                  <c:v>137401104.55353361</c:v>
                </c:pt>
                <c:pt idx="19">
                  <c:v>146145837.94093361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2-41AE-9FED-65C9284C4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402688"/>
        <c:axId val="162404224"/>
      </c:barChart>
      <c:catAx>
        <c:axId val="16240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62404224"/>
        <c:crosses val="autoZero"/>
        <c:auto val="1"/>
        <c:lblAlgn val="ctr"/>
        <c:lblOffset val="100"/>
        <c:noMultiLvlLbl val="0"/>
      </c:catAx>
      <c:valAx>
        <c:axId val="16240422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402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Денежный</a:t>
            </a:r>
            <a:r>
              <a:rPr lang="ru-RU" sz="1100" baseline="0"/>
              <a:t> поток по операционной деятельности</a:t>
            </a:r>
            <a:endParaRPr lang="ru-RU" sz="11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>
              <a:solidFill>
                <a:srgbClr val="00B0F0"/>
              </a:solidFill>
            </a:ln>
          </c:spPr>
          <c:marker>
            <c:symbol val="circle"/>
            <c:size val="12"/>
            <c:spPr>
              <a:solidFill>
                <a:schemeClr val="bg1"/>
              </a:solidFill>
              <a:ln>
                <a:solidFill>
                  <a:srgbClr val="00B0F0"/>
                </a:solidFill>
              </a:ln>
            </c:spPr>
          </c:marker>
          <c:val>
            <c:numRef>
              <c:f>ОДДС!$F$29:$Y$29</c:f>
              <c:numCache>
                <c:formatCode>#,##0</c:formatCode>
                <c:ptCount val="20"/>
                <c:pt idx="0">
                  <c:v>-5143647.2782630194</c:v>
                </c:pt>
                <c:pt idx="1">
                  <c:v>690807.6114385426</c:v>
                </c:pt>
                <c:pt idx="2">
                  <c:v>2102461.3585750014</c:v>
                </c:pt>
                <c:pt idx="3">
                  <c:v>4428206.725440003</c:v>
                </c:pt>
                <c:pt idx="4">
                  <c:v>6697423.9740200043</c:v>
                </c:pt>
                <c:pt idx="5">
                  <c:v>8966641.2226000056</c:v>
                </c:pt>
                <c:pt idx="6">
                  <c:v>8977135.6711800024</c:v>
                </c:pt>
                <c:pt idx="7">
                  <c:v>8987630.1197600067</c:v>
                </c:pt>
                <c:pt idx="8">
                  <c:v>8998124.5683400035</c:v>
                </c:pt>
                <c:pt idx="9">
                  <c:v>9008619.0169200003</c:v>
                </c:pt>
                <c:pt idx="10">
                  <c:v>8720022.9655000046</c:v>
                </c:pt>
                <c:pt idx="11">
                  <c:v>8714992.1030800045</c:v>
                </c:pt>
                <c:pt idx="12">
                  <c:v>8718709.7636200041</c:v>
                </c:pt>
                <c:pt idx="13">
                  <c:v>8722427.4241600037</c:v>
                </c:pt>
                <c:pt idx="14">
                  <c:v>8726145.0847000033</c:v>
                </c:pt>
                <c:pt idx="15">
                  <c:v>8729862.7452400029</c:v>
                </c:pt>
                <c:pt idx="16">
                  <c:v>8733580.4057800025</c:v>
                </c:pt>
                <c:pt idx="17">
                  <c:v>8737298.0663200021</c:v>
                </c:pt>
                <c:pt idx="18">
                  <c:v>8741015.7268600017</c:v>
                </c:pt>
                <c:pt idx="19">
                  <c:v>8744733.3874000013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0-46A0-BA50-78ED9014E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57824"/>
        <c:axId val="163359744"/>
      </c:lineChart>
      <c:catAx>
        <c:axId val="16335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63359744"/>
        <c:crosses val="autoZero"/>
        <c:auto val="1"/>
        <c:lblAlgn val="ctr"/>
        <c:lblOffset val="100"/>
        <c:noMultiLvlLbl val="0"/>
      </c:catAx>
      <c:valAx>
        <c:axId val="16335974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3357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Отчет</a:t>
            </a:r>
            <a:r>
              <a:rPr lang="ru-RU" sz="1100" baseline="0"/>
              <a:t> о прибылях за год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Прибыль!$A$5:$A$18</c:f>
              <c:strCache>
                <c:ptCount val="14"/>
                <c:pt idx="0">
                  <c:v>Выручка</c:v>
                </c:pt>
                <c:pt idx="1">
                  <c:v>Переменные расходы</c:v>
                </c:pt>
                <c:pt idx="2">
                  <c:v>Маржинальная прибыль</c:v>
                </c:pt>
                <c:pt idx="3">
                  <c:v>Постоянные расходы</c:v>
                </c:pt>
                <c:pt idx="4">
                  <c:v>EBITDA</c:v>
                </c:pt>
                <c:pt idx="5">
                  <c:v>Проценты по кредиту</c:v>
                </c:pt>
                <c:pt idx="6">
                  <c:v>Налоги</c:v>
                </c:pt>
                <c:pt idx="7">
                  <c:v>НДС</c:v>
                </c:pt>
                <c:pt idx="8">
                  <c:v>Налог на имущество</c:v>
                </c:pt>
                <c:pt idx="9">
                  <c:v>Налог на землю</c:v>
                </c:pt>
                <c:pt idx="10">
                  <c:v>Амортизация</c:v>
                </c:pt>
                <c:pt idx="11">
                  <c:v>Прибыль</c:v>
                </c:pt>
                <c:pt idx="12">
                  <c:v>Налог на прибыль</c:v>
                </c:pt>
                <c:pt idx="13">
                  <c:v>Чистая прибыль</c:v>
                </c:pt>
              </c:strCache>
            </c:strRef>
          </c:cat>
          <c:val>
            <c:numRef>
              <c:f>Прибыль!$AB$5:$AB$18</c:f>
              <c:numCache>
                <c:formatCode>#,##0</c:formatCode>
                <c:ptCount val="14"/>
                <c:pt idx="0">
                  <c:v>265680000</c:v>
                </c:pt>
                <c:pt idx="1">
                  <c:v>130156632</c:v>
                </c:pt>
                <c:pt idx="2">
                  <c:v>135523368</c:v>
                </c:pt>
                <c:pt idx="3">
                  <c:v>84012109.914599985</c:v>
                </c:pt>
                <c:pt idx="4">
                  <c:v>51511258.085400015</c:v>
                </c:pt>
                <c:pt idx="5">
                  <c:v>0</c:v>
                </c:pt>
                <c:pt idx="6">
                  <c:v>8660396.4524500016</c:v>
                </c:pt>
                <c:pt idx="7">
                  <c:v>8585209.6809</c:v>
                </c:pt>
                <c:pt idx="8">
                  <c:v>75186.771550000005</c:v>
                </c:pt>
                <c:pt idx="9">
                  <c:v>0</c:v>
                </c:pt>
                <c:pt idx="10">
                  <c:v>3379691.4</c:v>
                </c:pt>
                <c:pt idx="11">
                  <c:v>39471170.232950017</c:v>
                </c:pt>
                <c:pt idx="12">
                  <c:v>7894234.0465900041</c:v>
                </c:pt>
                <c:pt idx="13">
                  <c:v>31576936.186360013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4-48BE-AF06-11151F478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175424"/>
        <c:axId val="163382016"/>
      </c:barChart>
      <c:catAx>
        <c:axId val="1631754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3382016"/>
        <c:crosses val="autoZero"/>
        <c:auto val="1"/>
        <c:lblAlgn val="ctr"/>
        <c:lblOffset val="100"/>
        <c:noMultiLvlLbl val="0"/>
      </c:catAx>
      <c:valAx>
        <c:axId val="163382016"/>
        <c:scaling>
          <c:orientation val="minMax"/>
        </c:scaling>
        <c:delete val="0"/>
        <c:axPos val="t"/>
        <c:minorGridlines/>
        <c:numFmt formatCode="#,##0" sourceLinked="1"/>
        <c:majorTickMark val="out"/>
        <c:minorTickMark val="none"/>
        <c:tickLblPos val="nextTo"/>
        <c:crossAx val="163175424"/>
        <c:crosses val="autoZero"/>
        <c:crossBetween val="between"/>
        <c:dispUnits>
          <c:builtInUnit val="million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EBITDA</a:t>
            </a:r>
            <a:r>
              <a:rPr lang="ru-RU" sz="1100"/>
              <a:t> и</a:t>
            </a:r>
            <a:r>
              <a:rPr lang="en-US" sz="1100"/>
              <a:t> </a:t>
            </a:r>
            <a:r>
              <a:rPr lang="ru-RU" sz="1100"/>
              <a:t>Чистая прибыль, руб. в кв.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Прибыль!$A$9</c:f>
              <c:strCache>
                <c:ptCount val="1"/>
                <c:pt idx="0">
                  <c:v>EBITDA</c:v>
                </c:pt>
              </c:strCache>
            </c:strRef>
          </c:tx>
          <c:invertIfNegative val="0"/>
          <c:val>
            <c:numRef>
              <c:f>Прибыль!$F$9:$Y$9</c:f>
              <c:numCache>
                <c:formatCode>#,##0</c:formatCode>
                <c:ptCount val="20"/>
                <c:pt idx="0">
                  <c:v>-5980028.6571156234</c:v>
                </c:pt>
                <c:pt idx="1">
                  <c:v>921972.21565624699</c:v>
                </c:pt>
                <c:pt idx="2">
                  <c:v>2713561.9213500023</c:v>
                </c:pt>
                <c:pt idx="3">
                  <c:v>6101646.1213500053</c:v>
                </c:pt>
                <c:pt idx="4">
                  <c:v>9489730.3213500045</c:v>
                </c:pt>
                <c:pt idx="5">
                  <c:v>12877814.521350004</c:v>
                </c:pt>
                <c:pt idx="6">
                  <c:v>12877814.521350004</c:v>
                </c:pt>
                <c:pt idx="7">
                  <c:v>12877814.521350004</c:v>
                </c:pt>
                <c:pt idx="8">
                  <c:v>12877814.521350004</c:v>
                </c:pt>
                <c:pt idx="9">
                  <c:v>12877814.521350004</c:v>
                </c:pt>
                <c:pt idx="10">
                  <c:v>12877814.521350004</c:v>
                </c:pt>
                <c:pt idx="11">
                  <c:v>12877814.521350004</c:v>
                </c:pt>
                <c:pt idx="12">
                  <c:v>12877814.521350004</c:v>
                </c:pt>
                <c:pt idx="13">
                  <c:v>12877814.521350004</c:v>
                </c:pt>
                <c:pt idx="14">
                  <c:v>12877814.521350004</c:v>
                </c:pt>
                <c:pt idx="15">
                  <c:v>12877814.521350004</c:v>
                </c:pt>
                <c:pt idx="16">
                  <c:v>12877814.521350004</c:v>
                </c:pt>
                <c:pt idx="17">
                  <c:v>12877814.521350004</c:v>
                </c:pt>
                <c:pt idx="18">
                  <c:v>12877814.521350004</c:v>
                </c:pt>
                <c:pt idx="19">
                  <c:v>12877814.521350004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1-418E-9229-727B64135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407744"/>
        <c:axId val="163409280"/>
      </c:barChart>
      <c:lineChart>
        <c:grouping val="standard"/>
        <c:varyColors val="0"/>
        <c:ser>
          <c:idx val="2"/>
          <c:order val="1"/>
          <c:tx>
            <c:strRef>
              <c:f>Прибыль!$A$18</c:f>
              <c:strCache>
                <c:ptCount val="1"/>
                <c:pt idx="0">
                  <c:v>Чистая прибыль</c:v>
                </c:pt>
              </c:strCache>
            </c:strRef>
          </c:tx>
          <c:val>
            <c:numRef>
              <c:f>Прибыль!$F$18:$Y$18</c:f>
              <c:numCache>
                <c:formatCode>#,##0</c:formatCode>
                <c:ptCount val="20"/>
                <c:pt idx="0">
                  <c:v>-7370919.2282630196</c:v>
                </c:pt>
                <c:pt idx="1">
                  <c:v>-861464.33856146038</c:v>
                </c:pt>
                <c:pt idx="2">
                  <c:v>-282640.59142499743</c:v>
                </c:pt>
                <c:pt idx="3">
                  <c:v>2043104.7754400037</c:v>
                </c:pt>
                <c:pt idx="4">
                  <c:v>4312322.0240200032</c:v>
                </c:pt>
                <c:pt idx="5">
                  <c:v>6581539.2726000035</c:v>
                </c:pt>
                <c:pt idx="6">
                  <c:v>6592033.7211800031</c:v>
                </c:pt>
                <c:pt idx="7">
                  <c:v>6602528.1697600028</c:v>
                </c:pt>
                <c:pt idx="8">
                  <c:v>6613022.6183400024</c:v>
                </c:pt>
                <c:pt idx="9">
                  <c:v>6623517.0669200029</c:v>
                </c:pt>
                <c:pt idx="10">
                  <c:v>7830373.5155000035</c:v>
                </c:pt>
                <c:pt idx="11">
                  <c:v>7870069.253080003</c:v>
                </c:pt>
                <c:pt idx="12">
                  <c:v>7873786.9136200026</c:v>
                </c:pt>
                <c:pt idx="13">
                  <c:v>7877504.574160004</c:v>
                </c:pt>
                <c:pt idx="14">
                  <c:v>7881222.2347000036</c:v>
                </c:pt>
                <c:pt idx="15">
                  <c:v>7884939.8952400032</c:v>
                </c:pt>
                <c:pt idx="16">
                  <c:v>7888657.5557800038</c:v>
                </c:pt>
                <c:pt idx="17">
                  <c:v>7892375.2163200034</c:v>
                </c:pt>
                <c:pt idx="18">
                  <c:v>7896092.876860003</c:v>
                </c:pt>
                <c:pt idx="19">
                  <c:v>7899810.5374000026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1-418E-9229-727B64135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07744"/>
        <c:axId val="163409280"/>
      </c:lineChart>
      <c:catAx>
        <c:axId val="163407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63409280"/>
        <c:crosses val="autoZero"/>
        <c:auto val="1"/>
        <c:lblAlgn val="ctr"/>
        <c:lblOffset val="100"/>
        <c:noMultiLvlLbl val="0"/>
      </c:catAx>
      <c:valAx>
        <c:axId val="16340928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34077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Основные</a:t>
            </a:r>
            <a:r>
              <a:rPr lang="ru-RU" sz="1100" baseline="0"/>
              <a:t> показатели за год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Прибыль!$AD$5:$AD$8</c:f>
              <c:strCache>
                <c:ptCount val="4"/>
                <c:pt idx="0">
                  <c:v>Выручка</c:v>
                </c:pt>
                <c:pt idx="1">
                  <c:v>EBITDA</c:v>
                </c:pt>
                <c:pt idx="2">
                  <c:v>Расходы</c:v>
                </c:pt>
                <c:pt idx="3">
                  <c:v>Чистая Прибыль</c:v>
                </c:pt>
              </c:strCache>
            </c:strRef>
          </c:cat>
          <c:val>
            <c:numRef>
              <c:f>Прибыль!$AE$5:$AE$8</c:f>
              <c:numCache>
                <c:formatCode>#,##0</c:formatCode>
                <c:ptCount val="4"/>
                <c:pt idx="0">
                  <c:v>265680000</c:v>
                </c:pt>
                <c:pt idx="1">
                  <c:v>51511258.085400015</c:v>
                </c:pt>
                <c:pt idx="2">
                  <c:v>234103063.81364</c:v>
                </c:pt>
                <c:pt idx="3">
                  <c:v>31576936.186360013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2-48D2-B079-F2A27F295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434496"/>
        <c:axId val="163436032"/>
      </c:barChart>
      <c:catAx>
        <c:axId val="16343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3436032"/>
        <c:crosses val="autoZero"/>
        <c:auto val="1"/>
        <c:lblAlgn val="ctr"/>
        <c:lblOffset val="100"/>
        <c:noMultiLvlLbl val="0"/>
      </c:catAx>
      <c:valAx>
        <c:axId val="16343603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343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Денежные потоки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Денежный поток компании</c:v>
          </c:tx>
          <c:invertIfNegative val="0"/>
          <c:val>
            <c:numRef>
              <c:f>'Возврат инвестиций'!$F$16:$Y$16</c:f>
              <c:numCache>
                <c:formatCode>#,##0</c:formatCode>
                <c:ptCount val="20"/>
                <c:pt idx="0">
                  <c:v>-5143647.2782630194</c:v>
                </c:pt>
                <c:pt idx="1">
                  <c:v>690807.61143853981</c:v>
                </c:pt>
                <c:pt idx="2">
                  <c:v>2102461.3585750028</c:v>
                </c:pt>
                <c:pt idx="3">
                  <c:v>4428206.7254400039</c:v>
                </c:pt>
                <c:pt idx="4">
                  <c:v>6697423.9740200024</c:v>
                </c:pt>
                <c:pt idx="5">
                  <c:v>8966641.2226000018</c:v>
                </c:pt>
                <c:pt idx="6">
                  <c:v>8977135.6711800024</c:v>
                </c:pt>
                <c:pt idx="7">
                  <c:v>8987630.1197600029</c:v>
                </c:pt>
                <c:pt idx="8">
                  <c:v>8998124.5683400035</c:v>
                </c:pt>
                <c:pt idx="9">
                  <c:v>9008619.016920004</c:v>
                </c:pt>
                <c:pt idx="10">
                  <c:v>8720022.9655000027</c:v>
                </c:pt>
                <c:pt idx="11">
                  <c:v>8714992.1030800026</c:v>
                </c:pt>
                <c:pt idx="12">
                  <c:v>8718709.7636200041</c:v>
                </c:pt>
                <c:pt idx="13">
                  <c:v>8722427.4241600037</c:v>
                </c:pt>
                <c:pt idx="14">
                  <c:v>8726145.0847000033</c:v>
                </c:pt>
                <c:pt idx="15">
                  <c:v>8729862.7452400029</c:v>
                </c:pt>
                <c:pt idx="16">
                  <c:v>8733580.4057800025</c:v>
                </c:pt>
                <c:pt idx="17">
                  <c:v>8737298.0663200021</c:v>
                </c:pt>
                <c:pt idx="18">
                  <c:v>8741015.7268600017</c:v>
                </c:pt>
                <c:pt idx="19">
                  <c:v>8744733.3874000032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F-43BC-8F07-1AE935179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047104"/>
        <c:axId val="164053376"/>
      </c:barChart>
      <c:lineChart>
        <c:grouping val="standard"/>
        <c:varyColors val="0"/>
        <c:ser>
          <c:idx val="1"/>
          <c:order val="1"/>
          <c:tx>
            <c:v>Денежный поток акционерам</c:v>
          </c:tx>
          <c:spPr>
            <a:ln w="63500">
              <a:solidFill>
                <a:srgbClr val="00B0F0"/>
              </a:solidFill>
            </a:ln>
          </c:spPr>
          <c:marker>
            <c:symbol val="circle"/>
            <c:size val="11"/>
            <c:spPr>
              <a:solidFill>
                <a:schemeClr val="bg1"/>
              </a:solidFill>
              <a:ln w="34925">
                <a:solidFill>
                  <a:srgbClr val="00B0F0"/>
                </a:solidFill>
              </a:ln>
            </c:spPr>
          </c:marker>
          <c:val>
            <c:numRef>
              <c:f>'Возврат инвестиций'!$F$25:$Y$25</c:f>
              <c:numCache>
                <c:formatCode>#,##0</c:formatCode>
                <c:ptCount val="20"/>
                <c:pt idx="0">
                  <c:v>0</c:v>
                </c:pt>
                <c:pt idx="1">
                  <c:v>690807.61143853981</c:v>
                </c:pt>
                <c:pt idx="2">
                  <c:v>2102461.3585750028</c:v>
                </c:pt>
                <c:pt idx="3">
                  <c:v>4428206.7254400039</c:v>
                </c:pt>
                <c:pt idx="4">
                  <c:v>6697423.9740200024</c:v>
                </c:pt>
                <c:pt idx="5">
                  <c:v>8966641.2226000018</c:v>
                </c:pt>
                <c:pt idx="6">
                  <c:v>8977135.6711800024</c:v>
                </c:pt>
                <c:pt idx="7">
                  <c:v>8987630.1197600029</c:v>
                </c:pt>
                <c:pt idx="8">
                  <c:v>8998124.5683400035</c:v>
                </c:pt>
                <c:pt idx="9">
                  <c:v>9008619.016920004</c:v>
                </c:pt>
                <c:pt idx="10">
                  <c:v>8720022.9655000027</c:v>
                </c:pt>
                <c:pt idx="11">
                  <c:v>8714992.1030800026</c:v>
                </c:pt>
                <c:pt idx="12">
                  <c:v>8718709.7636200041</c:v>
                </c:pt>
                <c:pt idx="13">
                  <c:v>8722427.4241600037</c:v>
                </c:pt>
                <c:pt idx="14">
                  <c:v>8726145.0847000033</c:v>
                </c:pt>
                <c:pt idx="15">
                  <c:v>8729862.7452400029</c:v>
                </c:pt>
                <c:pt idx="16">
                  <c:v>8733580.4057800025</c:v>
                </c:pt>
                <c:pt idx="17">
                  <c:v>8737298.0663200021</c:v>
                </c:pt>
                <c:pt idx="18">
                  <c:v>8741015.7268600017</c:v>
                </c:pt>
                <c:pt idx="19">
                  <c:v>8744733.3874000032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F-43BC-8F07-1AE935179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47104"/>
        <c:axId val="164053376"/>
      </c:lineChart>
      <c:catAx>
        <c:axId val="164047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4053376"/>
        <c:crosses val="autoZero"/>
        <c:auto val="1"/>
        <c:lblAlgn val="ctr"/>
        <c:lblOffset val="100"/>
        <c:noMultiLvlLbl val="0"/>
      </c:catAx>
      <c:valAx>
        <c:axId val="16405337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40471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Чистый</a:t>
            </a:r>
            <a:r>
              <a:rPr lang="ru-RU" sz="1100" baseline="0"/>
              <a:t> дисконтированный доход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'Инвестиционный анализ'!$F$9:$Y$9</c:f>
              <c:numCache>
                <c:formatCode>#,##0</c:formatCode>
                <c:ptCount val="20"/>
                <c:pt idx="0">
                  <c:v>-49998364.746132284</c:v>
                </c:pt>
                <c:pt idx="1">
                  <c:v>-87469949.303512484</c:v>
                </c:pt>
                <c:pt idx="2">
                  <c:v>-85367487.944937482</c:v>
                </c:pt>
                <c:pt idx="3">
                  <c:v>-80939281.219497472</c:v>
                </c:pt>
                <c:pt idx="4">
                  <c:v>-74241857.245477468</c:v>
                </c:pt>
                <c:pt idx="5">
                  <c:v>-65275216.02287747</c:v>
                </c:pt>
                <c:pt idx="6">
                  <c:v>-56298080.351697467</c:v>
                </c:pt>
                <c:pt idx="7">
                  <c:v>-47310450.231937468</c:v>
                </c:pt>
                <c:pt idx="8">
                  <c:v>-38312325.663597465</c:v>
                </c:pt>
                <c:pt idx="9">
                  <c:v>-29303706.646677461</c:v>
                </c:pt>
                <c:pt idx="10">
                  <c:v>-20583683.68117746</c:v>
                </c:pt>
                <c:pt idx="11">
                  <c:v>-11868691.578097457</c:v>
                </c:pt>
                <c:pt idx="12">
                  <c:v>-3149981.814477453</c:v>
                </c:pt>
                <c:pt idx="13">
                  <c:v>5572445.6096825507</c:v>
                </c:pt>
                <c:pt idx="14">
                  <c:v>14298590.694382554</c:v>
                </c:pt>
                <c:pt idx="15">
                  <c:v>23028453.439622559</c:v>
                </c:pt>
                <c:pt idx="16">
                  <c:v>31762033.845402561</c:v>
                </c:pt>
                <c:pt idx="17">
                  <c:v>40499331.911722563</c:v>
                </c:pt>
                <c:pt idx="18">
                  <c:v>49240347.638582565</c:v>
                </c:pt>
                <c:pt idx="19">
                  <c:v>57985081.025982566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B-46D5-A46B-39FB2F95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947840"/>
        <c:axId val="162949376"/>
      </c:barChart>
      <c:catAx>
        <c:axId val="162947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2949376"/>
        <c:crosses val="autoZero"/>
        <c:auto val="1"/>
        <c:lblAlgn val="ctr"/>
        <c:lblOffset val="100"/>
        <c:noMultiLvlLbl val="0"/>
      </c:catAx>
      <c:valAx>
        <c:axId val="16294937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2947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EBITDA</a:t>
            </a:r>
            <a:r>
              <a:rPr lang="ru-RU" sz="1100"/>
              <a:t>,</a:t>
            </a:r>
            <a:r>
              <a:rPr lang="ru-RU" sz="1100" baseline="0"/>
              <a:t> руб. в кв.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Прибыль!$F$9:$Y$9</c:f>
              <c:numCache>
                <c:formatCode>#,##0</c:formatCode>
                <c:ptCount val="20"/>
                <c:pt idx="0">
                  <c:v>-5980028.6571156234</c:v>
                </c:pt>
                <c:pt idx="1">
                  <c:v>921972.21565624699</c:v>
                </c:pt>
                <c:pt idx="2">
                  <c:v>2713561.9213500023</c:v>
                </c:pt>
                <c:pt idx="3">
                  <c:v>6101646.1213500053</c:v>
                </c:pt>
                <c:pt idx="4">
                  <c:v>9489730.3213500045</c:v>
                </c:pt>
                <c:pt idx="5">
                  <c:v>12877814.521350004</c:v>
                </c:pt>
                <c:pt idx="6">
                  <c:v>12877814.521350004</c:v>
                </c:pt>
                <c:pt idx="7">
                  <c:v>12877814.521350004</c:v>
                </c:pt>
                <c:pt idx="8">
                  <c:v>12877814.521350004</c:v>
                </c:pt>
                <c:pt idx="9">
                  <c:v>12877814.521350004</c:v>
                </c:pt>
                <c:pt idx="10">
                  <c:v>12877814.521350004</c:v>
                </c:pt>
                <c:pt idx="11">
                  <c:v>12877814.521350004</c:v>
                </c:pt>
                <c:pt idx="12">
                  <c:v>12877814.521350004</c:v>
                </c:pt>
                <c:pt idx="13">
                  <c:v>12877814.521350004</c:v>
                </c:pt>
                <c:pt idx="14">
                  <c:v>12877814.521350004</c:v>
                </c:pt>
                <c:pt idx="15">
                  <c:v>12877814.521350004</c:v>
                </c:pt>
                <c:pt idx="16">
                  <c:v>12877814.521350004</c:v>
                </c:pt>
                <c:pt idx="17">
                  <c:v>12877814.521350004</c:v>
                </c:pt>
                <c:pt idx="18">
                  <c:v>12877814.521350004</c:v>
                </c:pt>
                <c:pt idx="19">
                  <c:v>12877814.521350004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D-4829-BEA7-78CDA5D5F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825920"/>
        <c:axId val="163844096"/>
      </c:barChart>
      <c:catAx>
        <c:axId val="16382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63844096"/>
        <c:crosses val="autoZero"/>
        <c:auto val="1"/>
        <c:lblAlgn val="ctr"/>
        <c:lblOffset val="100"/>
        <c:noMultiLvlLbl val="0"/>
      </c:catAx>
      <c:valAx>
        <c:axId val="16384409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382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Анализ рентабельности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'Финансовый анализ'!$M$8:$M$10</c:f>
              <c:strCache>
                <c:ptCount val="3"/>
                <c:pt idx="0">
                  <c:v>Рентабельность продаж (Прибыль к Выручке)</c:v>
                </c:pt>
                <c:pt idx="1">
                  <c:v>Рентабельность активов (Прибыль к Инвестициям)</c:v>
                </c:pt>
                <c:pt idx="2">
                  <c:v>Маржинальность бизнеса (Маржа к Выручке)</c:v>
                </c:pt>
              </c:strCache>
            </c:strRef>
          </c:cat>
          <c:val>
            <c:numRef>
              <c:f>'Финансовый анализ'!$N$8:$N$10</c:f>
              <c:numCache>
                <c:formatCode>0%</c:formatCode>
                <c:ptCount val="3"/>
                <c:pt idx="0">
                  <c:v>0.13157417790710632</c:v>
                </c:pt>
                <c:pt idx="1">
                  <c:v>0.42107738681029094</c:v>
                </c:pt>
                <c:pt idx="2">
                  <c:v>0.5101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3-41AB-BA96-E6E4C87E9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868672"/>
        <c:axId val="163870208"/>
      </c:barChart>
      <c:catAx>
        <c:axId val="163868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3870208"/>
        <c:crosses val="autoZero"/>
        <c:auto val="1"/>
        <c:lblAlgn val="ctr"/>
        <c:lblOffset val="100"/>
        <c:noMultiLvlLbl val="0"/>
      </c:catAx>
      <c:valAx>
        <c:axId val="1638702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3868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Расчет</a:t>
            </a:r>
            <a:r>
              <a:rPr lang="ru-RU" sz="1100" baseline="0"/>
              <a:t> точки безубыточности</a:t>
            </a:r>
            <a:endParaRPr lang="ru-RU" sz="11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'Центры прибыли'!$C$5:$L$5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'Центры прибыли'!$C$15:$L$15</c:f>
              <c:numCache>
                <c:formatCode>#,##0</c:formatCode>
                <c:ptCount val="10"/>
                <c:pt idx="0">
                  <c:v>-18045726.064724747</c:v>
                </c:pt>
                <c:pt idx="1">
                  <c:v>-15069627.957911998</c:v>
                </c:pt>
                <c:pt idx="2">
                  <c:v>-12093529.851099247</c:v>
                </c:pt>
                <c:pt idx="3">
                  <c:v>-9117431.7442864981</c:v>
                </c:pt>
                <c:pt idx="4">
                  <c:v>-6141333.6374737471</c:v>
                </c:pt>
                <c:pt idx="5">
                  <c:v>-3165235.5306609971</c:v>
                </c:pt>
                <c:pt idx="6">
                  <c:v>-189137.42384824436</c:v>
                </c:pt>
                <c:pt idx="7">
                  <c:v>2786960.6829645005</c:v>
                </c:pt>
                <c:pt idx="8">
                  <c:v>5763058.7897772538</c:v>
                </c:pt>
                <c:pt idx="9">
                  <c:v>8739156.8965900019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D-4B20-A763-4098036F6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898496"/>
        <c:axId val="163900032"/>
      </c:barChart>
      <c:catAx>
        <c:axId val="16389849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163900032"/>
        <c:crosses val="autoZero"/>
        <c:auto val="1"/>
        <c:lblAlgn val="ctr"/>
        <c:lblOffset val="100"/>
        <c:noMultiLvlLbl val="0"/>
      </c:catAx>
      <c:valAx>
        <c:axId val="16390003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3898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Финансовый анализ в разрезе бизнес направлений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'Центры прибыли'!$A$65</c:f>
              <c:strCache>
                <c:ptCount val="1"/>
                <c:pt idx="0">
                  <c:v>Печь "ХЛЕБОПЕЧКА"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'Центры прибыли'!$B$64:$E$64</c:f>
              <c:strCache>
                <c:ptCount val="4"/>
                <c:pt idx="0">
                  <c:v>Выручка</c:v>
                </c:pt>
                <c:pt idx="1">
                  <c:v>Переменные расходы</c:v>
                </c:pt>
                <c:pt idx="2">
                  <c:v>Постоянные расходы+Налоги</c:v>
                </c:pt>
                <c:pt idx="3">
                  <c:v>Прибыль</c:v>
                </c:pt>
              </c:strCache>
            </c:strRef>
          </c:cat>
          <c:val>
            <c:numRef>
              <c:f>'Центры прибыли'!$B$65:$E$65</c:f>
              <c:numCache>
                <c:formatCode>#,##0</c:formatCode>
                <c:ptCount val="4"/>
                <c:pt idx="0">
                  <c:v>66420000</c:v>
                </c:pt>
                <c:pt idx="1">
                  <c:v>32539158</c:v>
                </c:pt>
                <c:pt idx="2">
                  <c:v>25141685.103409998</c:v>
                </c:pt>
                <c:pt idx="3">
                  <c:v>8739156.8965900019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5-4ABF-B7EC-DAD2BC60DB8E}"/>
            </c:ext>
          </c:extLst>
        </c:ser>
        <c:ser>
          <c:idx val="1"/>
          <c:order val="1"/>
          <c:tx>
            <c:strRef>
              <c:f>'Центры прибыли'!$A$66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'Центры прибыли'!$B$64:$E$64</c:f>
              <c:strCache>
                <c:ptCount val="4"/>
                <c:pt idx="0">
                  <c:v>Выручка</c:v>
                </c:pt>
                <c:pt idx="1">
                  <c:v>Переменные расходы</c:v>
                </c:pt>
                <c:pt idx="2">
                  <c:v>Постоянные расходы+Налоги</c:v>
                </c:pt>
                <c:pt idx="3">
                  <c:v>Прибыль</c:v>
                </c:pt>
              </c:strCache>
            </c:strRef>
          </c:cat>
          <c:val>
            <c:numRef>
              <c:f>'Центры прибыли'!$B$66:$E$66</c:f>
            </c:numRef>
          </c:val>
          <c:extLst>
            <c:ext xmlns:c16="http://schemas.microsoft.com/office/drawing/2014/chart" uri="{C3380CC4-5D6E-409C-BE32-E72D297353CC}">
              <c16:uniqueId val="{00000001-ACF5-4ABF-B7EC-DAD2BC60DB8E}"/>
            </c:ext>
          </c:extLst>
        </c:ser>
        <c:ser>
          <c:idx val="2"/>
          <c:order val="2"/>
          <c:tx>
            <c:strRef>
              <c:f>'Центры прибыли'!$A$67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'Центры прибыли'!$B$64:$E$64</c:f>
              <c:strCache>
                <c:ptCount val="4"/>
                <c:pt idx="0">
                  <c:v>Выручка</c:v>
                </c:pt>
                <c:pt idx="1">
                  <c:v>Переменные расходы</c:v>
                </c:pt>
                <c:pt idx="2">
                  <c:v>Постоянные расходы+Налоги</c:v>
                </c:pt>
                <c:pt idx="3">
                  <c:v>Прибыль</c:v>
                </c:pt>
              </c:strCache>
            </c:strRef>
          </c:cat>
          <c:val>
            <c:numRef>
              <c:f>'Центры прибыли'!$B$67:$E$67</c:f>
            </c:numRef>
          </c:val>
          <c:extLst>
            <c:ext xmlns:c16="http://schemas.microsoft.com/office/drawing/2014/chart" uri="{C3380CC4-5D6E-409C-BE32-E72D297353CC}">
              <c16:uniqueId val="{00000002-ACF5-4ABF-B7EC-DAD2BC60DB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3935744"/>
        <c:axId val="163937280"/>
      </c:barChart>
      <c:catAx>
        <c:axId val="163935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3937280"/>
        <c:crosses val="autoZero"/>
        <c:auto val="1"/>
        <c:lblAlgn val="ctr"/>
        <c:lblOffset val="100"/>
        <c:noMultiLvlLbl val="0"/>
      </c:catAx>
      <c:valAx>
        <c:axId val="16393728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3935744"/>
        <c:crosses val="autoZero"/>
        <c:crossBetween val="between"/>
        <c:dispUnits>
          <c:builtInUnit val="millions"/>
          <c:dispUnitsLbl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Прибыль в разрезе бизнес направлений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'Центры прибыли'!$A$65:$A$67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'Центры прибыли'!$E$65:$E$67</c:f>
              <c:numCache>
                <c:formatCode>#,##0</c:formatCode>
                <c:ptCount val="1"/>
                <c:pt idx="0">
                  <c:v>8739156.8965900019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8-47EA-BCE4-AC089162E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376576"/>
        <c:axId val="164378112"/>
      </c:barChart>
      <c:catAx>
        <c:axId val="16437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4378112"/>
        <c:crosses val="autoZero"/>
        <c:auto val="1"/>
        <c:lblAlgn val="ctr"/>
        <c:lblOffset val="100"/>
        <c:noMultiLvlLbl val="0"/>
      </c:catAx>
      <c:valAx>
        <c:axId val="16437811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4376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Структура</a:t>
            </a:r>
            <a:r>
              <a:rPr lang="ru-RU" sz="1100" baseline="0"/>
              <a:t> прибыли по бизнес направлениям</a:t>
            </a:r>
            <a:endParaRPr lang="ru-RU" sz="1100"/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'Центры прибыли'!$A$65:$A$67</c:f>
              <c:strCache>
                <c:ptCount val="1"/>
                <c:pt idx="0">
                  <c:v>Печь "ХЛЕБОПЕЧКА"</c:v>
                </c:pt>
              </c:strCache>
            </c:strRef>
          </c:cat>
          <c:val>
            <c:numRef>
              <c:f>'Центры прибыли'!$E$65:$E$67</c:f>
              <c:numCache>
                <c:formatCode>#,##0</c:formatCode>
                <c:ptCount val="1"/>
                <c:pt idx="0">
                  <c:v>8739156.8965900019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1-46A2-A645-E3820B5C37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Анализ рисков бизнеса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'Анализ чувствительности'!$A$5:$A$8</c:f>
              <c:strCache>
                <c:ptCount val="4"/>
                <c:pt idx="0">
                  <c:v>Запас прочности по ценам и объему продаж</c:v>
                </c:pt>
                <c:pt idx="1">
                  <c:v>Запас прочности по себестоимости</c:v>
                </c:pt>
                <c:pt idx="2">
                  <c:v>Запас прочности по постоянным расходам</c:v>
                </c:pt>
                <c:pt idx="3">
                  <c:v>Запас прочности по кредитной нагрузке</c:v>
                </c:pt>
              </c:strCache>
            </c:strRef>
          </c:cat>
          <c:val>
            <c:numRef>
              <c:f>'Анализ чувствительности'!$B$5:$B$8</c:f>
              <c:numCache>
                <c:formatCode>0%</c:formatCode>
                <c:ptCount val="4"/>
                <c:pt idx="0">
                  <c:v>0.25793800805157097</c:v>
                </c:pt>
                <c:pt idx="1">
                  <c:v>0.26857354134947187</c:v>
                </c:pt>
                <c:pt idx="2">
                  <c:v>0.41609034247436627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E-45E9-AD96-8E0849002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43616"/>
        <c:axId val="161745152"/>
      </c:barChart>
      <c:catAx>
        <c:axId val="161743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1745152"/>
        <c:crosses val="autoZero"/>
        <c:auto val="1"/>
        <c:lblAlgn val="ctr"/>
        <c:lblOffset val="100"/>
        <c:noMultiLvlLbl val="0"/>
      </c:catAx>
      <c:valAx>
        <c:axId val="1617451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1743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Анализ запаса</a:t>
            </a:r>
            <a:r>
              <a:rPr lang="ru-RU" sz="1100" baseline="0"/>
              <a:t> прочности, кв.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'Анализ чувствительности'!$A$5:$A$8</c:f>
              <c:strCache>
                <c:ptCount val="4"/>
                <c:pt idx="0">
                  <c:v>Запас прочности по ценам и объему продаж</c:v>
                </c:pt>
                <c:pt idx="1">
                  <c:v>Запас прочности по себестоимости</c:v>
                </c:pt>
                <c:pt idx="2">
                  <c:v>Запас прочности по постоянным расходам</c:v>
                </c:pt>
                <c:pt idx="3">
                  <c:v>Запас прочности по кредитной нагрузке</c:v>
                </c:pt>
              </c:strCache>
            </c:strRef>
          </c:cat>
          <c:val>
            <c:numRef>
              <c:f>'Анализ чувствительности'!$C$5:$C$8</c:f>
              <c:numCache>
                <c:formatCode>#,##0</c:formatCode>
                <c:ptCount val="4"/>
                <c:pt idx="0">
                  <c:v>17132242.494785342</c:v>
                </c:pt>
                <c:pt idx="1">
                  <c:v>8739156.8965899982</c:v>
                </c:pt>
                <c:pt idx="2">
                  <c:v>8739156.8965900019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D-4D18-B1C4-2C015AEFEA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1766016"/>
        <c:axId val="161788288"/>
      </c:barChart>
      <c:catAx>
        <c:axId val="161766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1788288"/>
        <c:crosses val="autoZero"/>
        <c:auto val="1"/>
        <c:lblAlgn val="ctr"/>
        <c:lblOffset val="100"/>
        <c:noMultiLvlLbl val="0"/>
      </c:catAx>
      <c:valAx>
        <c:axId val="16178828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61766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4" Type="http://schemas.openxmlformats.org/officeDocument/2006/relationships/chart" Target="../charts/chart3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8.xml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4" Type="http://schemas.openxmlformats.org/officeDocument/2006/relationships/chart" Target="../charts/chart59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2.xml"/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4.xml"/><Relationship Id="rId1" Type="http://schemas.openxmlformats.org/officeDocument/2006/relationships/chart" Target="../charts/chart63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2.xml"/><Relationship Id="rId2" Type="http://schemas.openxmlformats.org/officeDocument/2006/relationships/chart" Target="../charts/chart71.xml"/><Relationship Id="rId1" Type="http://schemas.openxmlformats.org/officeDocument/2006/relationships/chart" Target="../charts/chart70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7.xml"/><Relationship Id="rId1" Type="http://schemas.openxmlformats.org/officeDocument/2006/relationships/chart" Target="../charts/chart7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40</xdr:row>
      <xdr:rowOff>14287</xdr:rowOff>
    </xdr:from>
    <xdr:to>
      <xdr:col>4</xdr:col>
      <xdr:colOff>1876424</xdr:colOff>
      <xdr:row>54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504824</xdr:colOff>
      <xdr:row>55</xdr:row>
      <xdr:rowOff>52387</xdr:rowOff>
    </xdr:from>
    <xdr:to>
      <xdr:col>4</xdr:col>
      <xdr:colOff>1857374</xdr:colOff>
      <xdr:row>69</xdr:row>
      <xdr:rowOff>128587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228600</xdr:colOff>
      <xdr:row>40</xdr:row>
      <xdr:rowOff>14287</xdr:rowOff>
    </xdr:from>
    <xdr:to>
      <xdr:col>12</xdr:col>
      <xdr:colOff>438150</xdr:colOff>
      <xdr:row>54</xdr:row>
      <xdr:rowOff>90487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266700</xdr:colOff>
      <xdr:row>55</xdr:row>
      <xdr:rowOff>52387</xdr:rowOff>
    </xdr:from>
    <xdr:to>
      <xdr:col>12</xdr:col>
      <xdr:colOff>476250</xdr:colOff>
      <xdr:row>69</xdr:row>
      <xdr:rowOff>128587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57150</xdr:colOff>
      <xdr:row>40</xdr:row>
      <xdr:rowOff>14287</xdr:rowOff>
    </xdr:from>
    <xdr:to>
      <xdr:col>20</xdr:col>
      <xdr:colOff>28575</xdr:colOff>
      <xdr:row>54</xdr:row>
      <xdr:rowOff>90487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66675</xdr:colOff>
      <xdr:row>55</xdr:row>
      <xdr:rowOff>71437</xdr:rowOff>
    </xdr:from>
    <xdr:to>
      <xdr:col>20</xdr:col>
      <xdr:colOff>38100</xdr:colOff>
      <xdr:row>69</xdr:row>
      <xdr:rowOff>147637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180975</xdr:colOff>
      <xdr:row>40</xdr:row>
      <xdr:rowOff>4762</xdr:rowOff>
    </xdr:from>
    <xdr:to>
      <xdr:col>27</xdr:col>
      <xdr:colOff>85725</xdr:colOff>
      <xdr:row>54</xdr:row>
      <xdr:rowOff>80962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276225</xdr:colOff>
      <xdr:row>55</xdr:row>
      <xdr:rowOff>71437</xdr:rowOff>
    </xdr:from>
    <xdr:to>
      <xdr:col>26</xdr:col>
      <xdr:colOff>257175</xdr:colOff>
      <xdr:row>70</xdr:row>
      <xdr:rowOff>100012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86</xdr:row>
      <xdr:rowOff>33337</xdr:rowOff>
    </xdr:from>
    <xdr:to>
      <xdr:col>4</xdr:col>
      <xdr:colOff>28574</xdr:colOff>
      <xdr:row>101</xdr:row>
      <xdr:rowOff>47625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380999</xdr:colOff>
      <xdr:row>102</xdr:row>
      <xdr:rowOff>14287</xdr:rowOff>
    </xdr:from>
    <xdr:to>
      <xdr:col>4</xdr:col>
      <xdr:colOff>38099</xdr:colOff>
      <xdr:row>117</xdr:row>
      <xdr:rowOff>42862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390525</xdr:colOff>
      <xdr:row>86</xdr:row>
      <xdr:rowOff>4762</xdr:rowOff>
    </xdr:from>
    <xdr:to>
      <xdr:col>10</xdr:col>
      <xdr:colOff>647700</xdr:colOff>
      <xdr:row>101</xdr:row>
      <xdr:rowOff>33337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352424</xdr:colOff>
      <xdr:row>85</xdr:row>
      <xdr:rowOff>176212</xdr:rowOff>
    </xdr:from>
    <xdr:to>
      <xdr:col>24</xdr:col>
      <xdr:colOff>371474</xdr:colOff>
      <xdr:row>117</xdr:row>
      <xdr:rowOff>47625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392207</xdr:colOff>
      <xdr:row>102</xdr:row>
      <xdr:rowOff>50425</xdr:rowOff>
    </xdr:from>
    <xdr:to>
      <xdr:col>10</xdr:col>
      <xdr:colOff>647701</xdr:colOff>
      <xdr:row>117</xdr:row>
      <xdr:rowOff>104214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170</xdr:row>
      <xdr:rowOff>195262</xdr:rowOff>
    </xdr:from>
    <xdr:to>
      <xdr:col>2</xdr:col>
      <xdr:colOff>571499</xdr:colOff>
      <xdr:row>185</xdr:row>
      <xdr:rowOff>71437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170</xdr:row>
      <xdr:rowOff>185737</xdr:rowOff>
    </xdr:from>
    <xdr:to>
      <xdr:col>14</xdr:col>
      <xdr:colOff>533399</xdr:colOff>
      <xdr:row>201</xdr:row>
      <xdr:rowOff>133350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57149</xdr:colOff>
      <xdr:row>170</xdr:row>
      <xdr:rowOff>166687</xdr:rowOff>
    </xdr:from>
    <xdr:to>
      <xdr:col>25</xdr:col>
      <xdr:colOff>352424</xdr:colOff>
      <xdr:row>201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9C8B5EC-87F3-47B9-DE5B-5F5BE53B9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103</xdr:row>
      <xdr:rowOff>23812</xdr:rowOff>
    </xdr:from>
    <xdr:to>
      <xdr:col>3</xdr:col>
      <xdr:colOff>1152524</xdr:colOff>
      <xdr:row>117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103</xdr:row>
      <xdr:rowOff>42862</xdr:rowOff>
    </xdr:from>
    <xdr:to>
      <xdr:col>11</xdr:col>
      <xdr:colOff>628650</xdr:colOff>
      <xdr:row>117</xdr:row>
      <xdr:rowOff>119062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118</xdr:row>
      <xdr:rowOff>138112</xdr:rowOff>
    </xdr:from>
    <xdr:to>
      <xdr:col>11</xdr:col>
      <xdr:colOff>628650</xdr:colOff>
      <xdr:row>133</xdr:row>
      <xdr:rowOff>23812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49</xdr:row>
      <xdr:rowOff>14287</xdr:rowOff>
    </xdr:from>
    <xdr:to>
      <xdr:col>4</xdr:col>
      <xdr:colOff>1238249</xdr:colOff>
      <xdr:row>63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447674</xdr:colOff>
      <xdr:row>64</xdr:row>
      <xdr:rowOff>4762</xdr:rowOff>
    </xdr:from>
    <xdr:to>
      <xdr:col>4</xdr:col>
      <xdr:colOff>1219199</xdr:colOff>
      <xdr:row>78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457200</xdr:colOff>
      <xdr:row>49</xdr:row>
      <xdr:rowOff>33337</xdr:rowOff>
    </xdr:from>
    <xdr:to>
      <xdr:col>12</xdr:col>
      <xdr:colOff>390525</xdr:colOff>
      <xdr:row>63</xdr:row>
      <xdr:rowOff>109537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45</xdr:row>
      <xdr:rowOff>23812</xdr:rowOff>
    </xdr:from>
    <xdr:to>
      <xdr:col>2</xdr:col>
      <xdr:colOff>1466849</xdr:colOff>
      <xdr:row>59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104774</xdr:colOff>
      <xdr:row>45</xdr:row>
      <xdr:rowOff>23812</xdr:rowOff>
    </xdr:from>
    <xdr:to>
      <xdr:col>8</xdr:col>
      <xdr:colOff>571500</xdr:colOff>
      <xdr:row>59</xdr:row>
      <xdr:rowOff>100012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266699</xdr:colOff>
      <xdr:row>44</xdr:row>
      <xdr:rowOff>195262</xdr:rowOff>
    </xdr:from>
    <xdr:to>
      <xdr:col>19</xdr:col>
      <xdr:colOff>266699</xdr:colOff>
      <xdr:row>59</xdr:row>
      <xdr:rowOff>71437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23</xdr:row>
      <xdr:rowOff>128586</xdr:rowOff>
    </xdr:from>
    <xdr:to>
      <xdr:col>7</xdr:col>
      <xdr:colOff>523875</xdr:colOff>
      <xdr:row>52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23</xdr:row>
      <xdr:rowOff>100012</xdr:rowOff>
    </xdr:from>
    <xdr:to>
      <xdr:col>18</xdr:col>
      <xdr:colOff>600075</xdr:colOff>
      <xdr:row>37</xdr:row>
      <xdr:rowOff>176212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123824</xdr:colOff>
      <xdr:row>39</xdr:row>
      <xdr:rowOff>4762</xdr:rowOff>
    </xdr:from>
    <xdr:to>
      <xdr:col>18</xdr:col>
      <xdr:colOff>628649</xdr:colOff>
      <xdr:row>53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</xdr:colOff>
      <xdr:row>23</xdr:row>
      <xdr:rowOff>109537</xdr:rowOff>
    </xdr:from>
    <xdr:to>
      <xdr:col>24</xdr:col>
      <xdr:colOff>581025</xdr:colOff>
      <xdr:row>37</xdr:row>
      <xdr:rowOff>185737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19050</xdr:colOff>
      <xdr:row>39</xdr:row>
      <xdr:rowOff>14287</xdr:rowOff>
    </xdr:from>
    <xdr:to>
      <xdr:col>25</xdr:col>
      <xdr:colOff>76200</xdr:colOff>
      <xdr:row>54</xdr:row>
      <xdr:rowOff>42862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58</xdr:row>
      <xdr:rowOff>42862</xdr:rowOff>
    </xdr:from>
    <xdr:to>
      <xdr:col>10</xdr:col>
      <xdr:colOff>342899</xdr:colOff>
      <xdr:row>73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647700</xdr:colOff>
      <xdr:row>58</xdr:row>
      <xdr:rowOff>52387</xdr:rowOff>
    </xdr:from>
    <xdr:to>
      <xdr:col>20</xdr:col>
      <xdr:colOff>19050</xdr:colOff>
      <xdr:row>73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57</xdr:row>
      <xdr:rowOff>14287</xdr:rowOff>
    </xdr:from>
    <xdr:to>
      <xdr:col>7</xdr:col>
      <xdr:colOff>666750</xdr:colOff>
      <xdr:row>71</xdr:row>
      <xdr:rowOff>90487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40</xdr:row>
      <xdr:rowOff>61912</xdr:rowOff>
    </xdr:from>
    <xdr:to>
      <xdr:col>4</xdr:col>
      <xdr:colOff>1333499</xdr:colOff>
      <xdr:row>54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1409699</xdr:colOff>
      <xdr:row>74</xdr:row>
      <xdr:rowOff>90487</xdr:rowOff>
    </xdr:from>
    <xdr:to>
      <xdr:col>6</xdr:col>
      <xdr:colOff>333374</xdr:colOff>
      <xdr:row>88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74</xdr:row>
      <xdr:rowOff>100012</xdr:rowOff>
    </xdr:from>
    <xdr:to>
      <xdr:col>13</xdr:col>
      <xdr:colOff>1714500</xdr:colOff>
      <xdr:row>88</xdr:row>
      <xdr:rowOff>176212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1847850</xdr:colOff>
      <xdr:row>74</xdr:row>
      <xdr:rowOff>80962</xdr:rowOff>
    </xdr:from>
    <xdr:to>
      <xdr:col>18</xdr:col>
      <xdr:colOff>28575</xdr:colOff>
      <xdr:row>88</xdr:row>
      <xdr:rowOff>157162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1409700</xdr:colOff>
      <xdr:row>90</xdr:row>
      <xdr:rowOff>33337</xdr:rowOff>
    </xdr:from>
    <xdr:to>
      <xdr:col>4</xdr:col>
      <xdr:colOff>762000</xdr:colOff>
      <xdr:row>104</xdr:row>
      <xdr:rowOff>109537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92</xdr:row>
      <xdr:rowOff>147637</xdr:rowOff>
    </xdr:from>
    <xdr:to>
      <xdr:col>2</xdr:col>
      <xdr:colOff>0</xdr:colOff>
      <xdr:row>107</xdr:row>
      <xdr:rowOff>176212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257175</xdr:colOff>
      <xdr:row>92</xdr:row>
      <xdr:rowOff>166687</xdr:rowOff>
    </xdr:from>
    <xdr:to>
      <xdr:col>6</xdr:col>
      <xdr:colOff>800100</xdr:colOff>
      <xdr:row>108</xdr:row>
      <xdr:rowOff>14287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17</xdr:row>
      <xdr:rowOff>0</xdr:rowOff>
    </xdr:from>
    <xdr:to>
      <xdr:col>19</xdr:col>
      <xdr:colOff>114300</xdr:colOff>
      <xdr:row>30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34</xdr:row>
      <xdr:rowOff>147638</xdr:rowOff>
    </xdr:from>
    <xdr:to>
      <xdr:col>3</xdr:col>
      <xdr:colOff>390525</xdr:colOff>
      <xdr:row>56</xdr:row>
      <xdr:rowOff>161926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34</xdr:row>
      <xdr:rowOff>166686</xdr:rowOff>
    </xdr:from>
    <xdr:to>
      <xdr:col>10</xdr:col>
      <xdr:colOff>304800</xdr:colOff>
      <xdr:row>57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14287</xdr:rowOff>
    </xdr:from>
    <xdr:to>
      <xdr:col>2</xdr:col>
      <xdr:colOff>1038225</xdr:colOff>
      <xdr:row>39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609600</xdr:colOff>
      <xdr:row>40</xdr:row>
      <xdr:rowOff>23812</xdr:rowOff>
    </xdr:from>
    <xdr:to>
      <xdr:col>2</xdr:col>
      <xdr:colOff>1038225</xdr:colOff>
      <xdr:row>55</xdr:row>
      <xdr:rowOff>52387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12</xdr:col>
      <xdr:colOff>57150</xdr:colOff>
      <xdr:row>34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20</xdr:row>
      <xdr:rowOff>4762</xdr:rowOff>
    </xdr:from>
    <xdr:to>
      <xdr:col>6</xdr:col>
      <xdr:colOff>485775</xdr:colOff>
      <xdr:row>44</xdr:row>
      <xdr:rowOff>28576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20</xdr:row>
      <xdr:rowOff>4762</xdr:rowOff>
    </xdr:from>
    <xdr:to>
      <xdr:col>11</xdr:col>
      <xdr:colOff>866775</xdr:colOff>
      <xdr:row>44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9525</xdr:rowOff>
    </xdr:from>
    <xdr:to>
      <xdr:col>8</xdr:col>
      <xdr:colOff>609600</xdr:colOff>
      <xdr:row>20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25</xdr:row>
      <xdr:rowOff>38100</xdr:rowOff>
    </xdr:from>
    <xdr:to>
      <xdr:col>9</xdr:col>
      <xdr:colOff>47625</xdr:colOff>
      <xdr:row>37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1419225</xdr:colOff>
      <xdr:row>43</xdr:row>
      <xdr:rowOff>104775</xdr:rowOff>
    </xdr:from>
    <xdr:to>
      <xdr:col>6</xdr:col>
      <xdr:colOff>619125</xdr:colOff>
      <xdr:row>47</xdr:row>
      <xdr:rowOff>47625</xdr:rowOff>
    </xdr:to>
    <xdr:sp macro="" textlink="">
      <xdr:nvSpPr>
        <xdr:cNvPr id="2" name="Стрелка вправо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4105275" y="8534400"/>
          <a:ext cx="5762625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28575</xdr:rowOff>
    </xdr:from>
    <xdr:to>
      <xdr:col>15</xdr:col>
      <xdr:colOff>514350</xdr:colOff>
      <xdr:row>27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12</xdr:row>
      <xdr:rowOff>19050</xdr:rowOff>
    </xdr:from>
    <xdr:to>
      <xdr:col>17</xdr:col>
      <xdr:colOff>219075</xdr:colOff>
      <xdr:row>32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5</xdr:row>
      <xdr:rowOff>23812</xdr:rowOff>
    </xdr:from>
    <xdr:to>
      <xdr:col>6</xdr:col>
      <xdr:colOff>85725</xdr:colOff>
      <xdr:row>20</xdr:row>
      <xdr:rowOff>52387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21</xdr:row>
      <xdr:rowOff>123825</xdr:rowOff>
    </xdr:from>
    <xdr:to>
      <xdr:col>6</xdr:col>
      <xdr:colOff>161924</xdr:colOff>
      <xdr:row>36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14</xdr:col>
      <xdr:colOff>733425</xdr:colOff>
      <xdr:row>25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142875</xdr:rowOff>
    </xdr:from>
    <xdr:to>
      <xdr:col>7</xdr:col>
      <xdr:colOff>438151</xdr:colOff>
      <xdr:row>18</xdr:row>
      <xdr:rowOff>157163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5</xdr:col>
      <xdr:colOff>447675</xdr:colOff>
      <xdr:row>36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38</xdr:row>
      <xdr:rowOff>0</xdr:rowOff>
    </xdr:from>
    <xdr:to>
      <xdr:col>5</xdr:col>
      <xdr:colOff>823632</xdr:colOff>
      <xdr:row>53</xdr:row>
      <xdr:rowOff>53789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5</xdr:col>
      <xdr:colOff>800100</xdr:colOff>
      <xdr:row>74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942975</xdr:colOff>
      <xdr:row>25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0</xdr:rowOff>
    </xdr:from>
    <xdr:to>
      <xdr:col>5</xdr:col>
      <xdr:colOff>390525</xdr:colOff>
      <xdr:row>42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44</xdr:row>
      <xdr:rowOff>0</xdr:rowOff>
    </xdr:from>
    <xdr:to>
      <xdr:col>6</xdr:col>
      <xdr:colOff>352425</xdr:colOff>
      <xdr:row>58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56</xdr:row>
      <xdr:rowOff>28575</xdr:rowOff>
    </xdr:from>
    <xdr:to>
      <xdr:col>6</xdr:col>
      <xdr:colOff>942975</xdr:colOff>
      <xdr:row>71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</xdr:colOff>
      <xdr:row>72</xdr:row>
      <xdr:rowOff>9525</xdr:rowOff>
    </xdr:from>
    <xdr:to>
      <xdr:col>6</xdr:col>
      <xdr:colOff>942975</xdr:colOff>
      <xdr:row>87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18</xdr:row>
      <xdr:rowOff>152400</xdr:rowOff>
    </xdr:from>
    <xdr:to>
      <xdr:col>10</xdr:col>
      <xdr:colOff>219075</xdr:colOff>
      <xdr:row>46</xdr:row>
      <xdr:rowOff>61914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219075</xdr:colOff>
      <xdr:row>47</xdr:row>
      <xdr:rowOff>28575</xdr:rowOff>
    </xdr:from>
    <xdr:to>
      <xdr:col>10</xdr:col>
      <xdr:colOff>228600</xdr:colOff>
      <xdr:row>60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219074</xdr:colOff>
      <xdr:row>61</xdr:row>
      <xdr:rowOff>171450</xdr:rowOff>
    </xdr:from>
    <xdr:to>
      <xdr:col>10</xdr:col>
      <xdr:colOff>228599</xdr:colOff>
      <xdr:row>75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28575</xdr:rowOff>
    </xdr:from>
    <xdr:to>
      <xdr:col>5</xdr:col>
      <xdr:colOff>19050</xdr:colOff>
      <xdr:row>32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4</xdr:col>
      <xdr:colOff>28575</xdr:colOff>
      <xdr:row>38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304800</xdr:colOff>
      <xdr:row>20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12</xdr:row>
      <xdr:rowOff>42862</xdr:rowOff>
    </xdr:from>
    <xdr:to>
      <xdr:col>14</xdr:col>
      <xdr:colOff>104775</xdr:colOff>
      <xdr:row>27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238125</xdr:colOff>
      <xdr:row>35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38</xdr:row>
      <xdr:rowOff>0</xdr:rowOff>
    </xdr:from>
    <xdr:to>
      <xdr:col>33</xdr:col>
      <xdr:colOff>219075</xdr:colOff>
      <xdr:row>52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55</xdr:row>
      <xdr:rowOff>0</xdr:rowOff>
    </xdr:from>
    <xdr:to>
      <xdr:col>32</xdr:col>
      <xdr:colOff>400050</xdr:colOff>
      <xdr:row>69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71</xdr:row>
      <xdr:rowOff>0</xdr:rowOff>
    </xdr:from>
    <xdr:to>
      <xdr:col>31</xdr:col>
      <xdr:colOff>28575</xdr:colOff>
      <xdr:row>85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352425</xdr:colOff>
      <xdr:row>23</xdr:row>
      <xdr:rowOff>57150</xdr:rowOff>
    </xdr:from>
    <xdr:to>
      <xdr:col>10</xdr:col>
      <xdr:colOff>209550</xdr:colOff>
      <xdr:row>24</xdr:row>
      <xdr:rowOff>161925</xdr:rowOff>
    </xdr:to>
    <xdr:sp macro="" textlink="">
      <xdr:nvSpPr>
        <xdr:cNvPr id="8" name="Стрелка вправо 7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3209925" y="4467225"/>
          <a:ext cx="287655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0</xdr:colOff>
      <xdr:row>31</xdr:row>
      <xdr:rowOff>133350</xdr:rowOff>
    </xdr:from>
    <xdr:to>
      <xdr:col>15</xdr:col>
      <xdr:colOff>514350</xdr:colOff>
      <xdr:row>33</xdr:row>
      <xdr:rowOff>142875</xdr:rowOff>
    </xdr:to>
    <xdr:sp macro="" textlink="">
      <xdr:nvSpPr>
        <xdr:cNvPr id="9" name="Стрелка вправо 8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10639425" y="5991225"/>
          <a:ext cx="203835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280989</xdr:colOff>
      <xdr:row>35</xdr:row>
      <xdr:rowOff>147638</xdr:rowOff>
    </xdr:from>
    <xdr:to>
      <xdr:col>20</xdr:col>
      <xdr:colOff>576264</xdr:colOff>
      <xdr:row>44</xdr:row>
      <xdr:rowOff>138113</xdr:rowOff>
    </xdr:to>
    <xdr:sp macro="" textlink="">
      <xdr:nvSpPr>
        <xdr:cNvPr id="10" name="Стрелка вправо 9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 rot="2925319">
          <a:off x="17459327" y="7086600"/>
          <a:ext cx="1619250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cbr.ru/statistics/bank_sector/int_ra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2:E29"/>
  <sheetViews>
    <sheetView tabSelected="1" workbookViewId="0">
      <selection activeCell="A19" sqref="A19"/>
    </sheetView>
  </sheetViews>
  <sheetFormatPr defaultRowHeight="14.25" x14ac:dyDescent="0.2"/>
  <cols>
    <col min="1" max="1" width="35.140625" style="1" customWidth="1"/>
    <col min="2" max="2" width="9.140625" style="1"/>
    <col min="3" max="3" width="33.28515625" style="1" customWidth="1"/>
    <col min="4" max="4" width="9.140625" style="1"/>
    <col min="5" max="5" width="37" style="1" customWidth="1"/>
    <col min="6" max="16384" width="9.140625" style="1"/>
  </cols>
  <sheetData>
    <row r="2" spans="1:5" ht="30" x14ac:dyDescent="0.4">
      <c r="A2" s="351" t="s">
        <v>195</v>
      </c>
      <c r="B2" s="351"/>
      <c r="C2" s="351"/>
      <c r="D2" s="351"/>
      <c r="E2" s="351"/>
    </row>
    <row r="4" spans="1:5" ht="20.25" x14ac:dyDescent="0.3">
      <c r="A4" s="287" t="s">
        <v>377</v>
      </c>
      <c r="C4" s="288" t="s">
        <v>378</v>
      </c>
      <c r="E4" s="289" t="s">
        <v>380</v>
      </c>
    </row>
    <row r="5" spans="1:5" ht="20.25" x14ac:dyDescent="0.3">
      <c r="A5" s="287"/>
      <c r="C5" s="292"/>
      <c r="E5" s="295"/>
    </row>
    <row r="6" spans="1:5" ht="15" x14ac:dyDescent="0.25">
      <c r="A6" s="290" t="s">
        <v>388</v>
      </c>
      <c r="C6" s="293" t="s">
        <v>175</v>
      </c>
      <c r="E6" s="296" t="s">
        <v>339</v>
      </c>
    </row>
    <row r="7" spans="1:5" ht="15" x14ac:dyDescent="0.25">
      <c r="A7" s="290" t="s">
        <v>387</v>
      </c>
      <c r="C7" s="293" t="s">
        <v>383</v>
      </c>
      <c r="E7" s="297" t="s">
        <v>319</v>
      </c>
    </row>
    <row r="8" spans="1:5" ht="15" x14ac:dyDescent="0.25">
      <c r="A8" s="290" t="s">
        <v>386</v>
      </c>
      <c r="C8" s="294" t="s">
        <v>214</v>
      </c>
      <c r="E8" s="296" t="s">
        <v>382</v>
      </c>
    </row>
    <row r="9" spans="1:5" ht="15" x14ac:dyDescent="0.25">
      <c r="A9" s="290" t="s">
        <v>385</v>
      </c>
      <c r="C9" s="294" t="s">
        <v>272</v>
      </c>
      <c r="E9" s="296" t="s">
        <v>111</v>
      </c>
    </row>
    <row r="10" spans="1:5" ht="15" x14ac:dyDescent="0.25">
      <c r="A10" s="290" t="s">
        <v>384</v>
      </c>
      <c r="C10" s="294" t="s">
        <v>379</v>
      </c>
      <c r="E10" s="296" t="s">
        <v>344</v>
      </c>
    </row>
    <row r="11" spans="1:5" ht="15" x14ac:dyDescent="0.25">
      <c r="A11" s="291" t="s">
        <v>174</v>
      </c>
      <c r="C11" s="293" t="s">
        <v>281</v>
      </c>
      <c r="E11" s="295" t="s">
        <v>252</v>
      </c>
    </row>
    <row r="12" spans="1:5" ht="15" x14ac:dyDescent="0.25">
      <c r="C12" s="293" t="s">
        <v>274</v>
      </c>
      <c r="E12" s="298" t="s">
        <v>352</v>
      </c>
    </row>
    <row r="13" spans="1:5" ht="15" x14ac:dyDescent="0.25">
      <c r="E13" s="298" t="s">
        <v>351</v>
      </c>
    </row>
    <row r="14" spans="1:5" ht="15" x14ac:dyDescent="0.25">
      <c r="E14" s="298" t="s">
        <v>353</v>
      </c>
    </row>
    <row r="15" spans="1:5" ht="15" x14ac:dyDescent="0.25">
      <c r="E15" s="298" t="s">
        <v>359</v>
      </c>
    </row>
    <row r="16" spans="1:5" x14ac:dyDescent="0.2">
      <c r="E16" s="295" t="s">
        <v>132</v>
      </c>
    </row>
    <row r="17" spans="5:5" ht="15" x14ac:dyDescent="0.25">
      <c r="E17" s="298" t="s">
        <v>360</v>
      </c>
    </row>
    <row r="18" spans="5:5" ht="15" x14ac:dyDescent="0.25">
      <c r="E18" s="298" t="s">
        <v>361</v>
      </c>
    </row>
    <row r="19" spans="5:5" ht="15" x14ac:dyDescent="0.25">
      <c r="E19" s="298" t="s">
        <v>363</v>
      </c>
    </row>
    <row r="20" spans="5:5" ht="15" x14ac:dyDescent="0.25">
      <c r="E20" s="298" t="s">
        <v>364</v>
      </c>
    </row>
    <row r="21" spans="5:5" x14ac:dyDescent="0.2">
      <c r="E21" s="295"/>
    </row>
    <row r="22" spans="5:5" ht="15" x14ac:dyDescent="0.25">
      <c r="E22" s="296" t="s">
        <v>133</v>
      </c>
    </row>
    <row r="23" spans="5:5" ht="15" x14ac:dyDescent="0.25">
      <c r="E23" s="296" t="s">
        <v>383</v>
      </c>
    </row>
    <row r="24" spans="5:5" ht="15" x14ac:dyDescent="0.25">
      <c r="E24" s="296" t="s">
        <v>392</v>
      </c>
    </row>
    <row r="25" spans="5:5" ht="15" x14ac:dyDescent="0.25">
      <c r="E25" s="297" t="s">
        <v>391</v>
      </c>
    </row>
    <row r="26" spans="5:5" ht="15" x14ac:dyDescent="0.25">
      <c r="E26" s="297" t="s">
        <v>390</v>
      </c>
    </row>
    <row r="27" spans="5:5" ht="15" x14ac:dyDescent="0.25">
      <c r="E27" s="297" t="s">
        <v>381</v>
      </c>
    </row>
    <row r="28" spans="5:5" ht="15" x14ac:dyDescent="0.25">
      <c r="E28" s="296" t="s">
        <v>389</v>
      </c>
    </row>
    <row r="29" spans="5:5" ht="15" x14ac:dyDescent="0.25">
      <c r="E29" s="296" t="s">
        <v>375</v>
      </c>
    </row>
  </sheetData>
  <mergeCells count="1">
    <mergeCell ref="A2:E2"/>
  </mergeCells>
  <hyperlinks>
    <hyperlink ref="A6" location="'Параметры Доходы'!A1" display="Параметры Доходы'!A1" xr:uid="{00000000-0004-0000-0000-000000000000}"/>
    <hyperlink ref="A7" location="'Параметры Расходы'!A1" display="'Параметры Расходы'!A1" xr:uid="{00000000-0004-0000-0000-000001000000}"/>
    <hyperlink ref="A8" location="'Параметры инвестиции'!A1" display="'Параметры инвестиции'!A1" xr:uid="{00000000-0004-0000-0000-000002000000}"/>
    <hyperlink ref="A9" location="'Параметры финансирование'!A1" display="'Параметры финансирование'!A1" xr:uid="{00000000-0004-0000-0000-000003000000}"/>
    <hyperlink ref="A10" location="'Параметы Налоги'!A1" display="'Параметы Налоги'!A1" xr:uid="{00000000-0004-0000-0000-000004000000}"/>
    <hyperlink ref="A11" location="Амортизация!A1" display="Амортизация!A1" xr:uid="{00000000-0004-0000-0000-000005000000}"/>
    <hyperlink ref="C6" location="Прибыль!A1" display="Прибыль!A1" xr:uid="{00000000-0004-0000-0000-000006000000}"/>
    <hyperlink ref="C7" location="ОДДС!A1" display="ОДДС!A1" xr:uid="{00000000-0004-0000-0000-000007000000}"/>
    <hyperlink ref="C8" location="'Возврат инвестиций'!A1" display="'Возврат инвестиций'!A1" xr:uid="{00000000-0004-0000-0000-000008000000}"/>
    <hyperlink ref="C9" location="'Инвестиционный анализ'!A1" display="Инвестиционный анализ" xr:uid="{00000000-0004-0000-0000-000009000000}"/>
    <hyperlink ref="C10" location="'Центры прибыли'!A1" display="Центры прибыли" xr:uid="{00000000-0004-0000-0000-00000A000000}"/>
    <hyperlink ref="C11" location="'Анализ чувствительности'!A1" display="Анализ чувствительности" xr:uid="{00000000-0004-0000-0000-00000B000000}"/>
    <hyperlink ref="C12" location="Резюме!A1" display="Резюме!A1" xr:uid="{00000000-0004-0000-0000-00000C000000}"/>
    <hyperlink ref="E6" location="Результаты!A1" display="Результаты!A1" xr:uid="{00000000-0004-0000-0000-00000D000000}"/>
    <hyperlink ref="E7" location="'Стратегические цели'!A1" display="'Стратегические цели'!A1" xr:uid="{00000000-0004-0000-0000-00000E000000}"/>
    <hyperlink ref="E8" location="Процессы!A1" display="Процессы!A1" xr:uid="{00000000-0004-0000-0000-00000F000000}"/>
    <hyperlink ref="E9" location="Инвестиции!A1" display="Инвестиции!A1" xr:uid="{00000000-0004-0000-0000-000010000000}"/>
    <hyperlink ref="E12" location="Продажи_1!A1" display="Продажи_1" xr:uid="{00000000-0004-0000-0000-000011000000}"/>
    <hyperlink ref="E13" location="Продажи_2!A1" display="Продажи_2" xr:uid="{00000000-0004-0000-0000-000012000000}"/>
    <hyperlink ref="E14" location="Продажи_3!A1" display="Продажи_3" xr:uid="{00000000-0004-0000-0000-000013000000}"/>
    <hyperlink ref="E15" location="Продажи_4!A1" display="Продажи_4" xr:uid="{00000000-0004-0000-0000-000014000000}"/>
    <hyperlink ref="E17" location="Расходы_1!A1" display="Расходы_1!A1" xr:uid="{00000000-0004-0000-0000-000015000000}"/>
    <hyperlink ref="E18" location="Расходы_2!A1" display="Расходы_2!A1" xr:uid="{00000000-0004-0000-0000-000016000000}"/>
    <hyperlink ref="E19" location="Расходы_3!A1" display="Расходы_3!A1" xr:uid="{00000000-0004-0000-0000-000017000000}"/>
    <hyperlink ref="E20" location="Расходы_4!A1" display="Расходы_4!A1" xr:uid="{00000000-0004-0000-0000-000018000000}"/>
    <hyperlink ref="E22" location="Налоги_1!A1" display="Налоги_1!A1" xr:uid="{00000000-0004-0000-0000-000019000000}"/>
    <hyperlink ref="E23" location="ОДДС_1!A1" display="ОДДС_1!A1" xr:uid="{00000000-0004-0000-0000-00001A000000}"/>
    <hyperlink ref="E24" location="ОПИУ_1!A1" display="ОПИУ_1!A1" xr:uid="{00000000-0004-0000-0000-00001B000000}"/>
    <hyperlink ref="E25" location="'Возврат инвестору_1'!A1" display="'Возврат инвестору_1'!A1" xr:uid="{00000000-0004-0000-0000-00001C000000}"/>
    <hyperlink ref="E26" location="'Инвест анализ_1'!A1" display="'Инвест анализ_1'!A1" xr:uid="{00000000-0004-0000-0000-00001D000000}"/>
    <hyperlink ref="E27" location="'Финансовый анализ'!A1" display="'Финансовый анализ'!A1" xr:uid="{00000000-0004-0000-0000-00001E000000}"/>
    <hyperlink ref="E28" location="Риски_1!A1" display="Риски_1!A1" xr:uid="{00000000-0004-0000-0000-00001F000000}"/>
    <hyperlink ref="E29" location="Выводы!A1" display="Выводы!A1" xr:uid="{00000000-0004-0000-0000-000020000000}"/>
    <hyperlink ref="E10" location="Финансирование!A1" display="Финансирование!A1" xr:uid="{00000000-0004-0000-0000-00002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405A-9935-47D7-B451-2DDABC54E270}">
  <sheetPr>
    <tabColor rgb="FF00B050"/>
  </sheetPr>
  <dimension ref="A1:E43"/>
  <sheetViews>
    <sheetView topLeftCell="A25" workbookViewId="0">
      <selection activeCell="E29" sqref="E29"/>
    </sheetView>
  </sheetViews>
  <sheetFormatPr defaultRowHeight="14.25" x14ac:dyDescent="0.2"/>
  <cols>
    <col min="1" max="1" width="5.7109375" style="317" customWidth="1"/>
    <col min="2" max="2" width="19.28515625" style="1" customWidth="1"/>
    <col min="3" max="3" width="11.28515625" style="314" customWidth="1"/>
    <col min="4" max="4" width="52.5703125" style="314" customWidth="1"/>
    <col min="5" max="5" width="96.7109375" style="1" customWidth="1"/>
    <col min="6" max="16384" width="9.140625" style="1"/>
  </cols>
  <sheetData>
    <row r="1" spans="1:5" ht="15" x14ac:dyDescent="0.2">
      <c r="A1" s="320" t="s">
        <v>422</v>
      </c>
      <c r="B1" s="320" t="s">
        <v>426</v>
      </c>
      <c r="C1" s="320" t="s">
        <v>437</v>
      </c>
      <c r="D1" s="320" t="s">
        <v>376</v>
      </c>
      <c r="E1" s="320" t="s">
        <v>502</v>
      </c>
    </row>
    <row r="2" spans="1:5" x14ac:dyDescent="0.2">
      <c r="A2" s="319">
        <v>1</v>
      </c>
      <c r="B2" s="352" t="s">
        <v>427</v>
      </c>
      <c r="C2" s="319" t="s">
        <v>423</v>
      </c>
      <c r="D2" s="315" t="s">
        <v>4</v>
      </c>
      <c r="E2" s="316" t="s">
        <v>510</v>
      </c>
    </row>
    <row r="3" spans="1:5" x14ac:dyDescent="0.2">
      <c r="A3" s="319">
        <v>2</v>
      </c>
      <c r="B3" s="352"/>
      <c r="C3" s="319" t="s">
        <v>424</v>
      </c>
      <c r="D3" s="315" t="s">
        <v>8</v>
      </c>
      <c r="E3" s="315" t="s">
        <v>511</v>
      </c>
    </row>
    <row r="4" spans="1:5" ht="28.5" x14ac:dyDescent="0.2">
      <c r="A4" s="319">
        <v>3</v>
      </c>
      <c r="B4" s="352"/>
      <c r="C4" s="319" t="s">
        <v>432</v>
      </c>
      <c r="D4" s="315" t="s">
        <v>512</v>
      </c>
      <c r="E4" s="316" t="s">
        <v>529</v>
      </c>
    </row>
    <row r="5" spans="1:5" x14ac:dyDescent="0.2">
      <c r="A5" s="319">
        <v>4</v>
      </c>
      <c r="B5" s="353" t="s">
        <v>428</v>
      </c>
      <c r="C5" s="319" t="s">
        <v>425</v>
      </c>
      <c r="D5" s="315" t="s">
        <v>42</v>
      </c>
      <c r="E5" s="316" t="s">
        <v>513</v>
      </c>
    </row>
    <row r="6" spans="1:5" x14ac:dyDescent="0.2">
      <c r="A6" s="319">
        <v>5</v>
      </c>
      <c r="B6" s="354"/>
      <c r="C6" s="319" t="s">
        <v>429</v>
      </c>
      <c r="D6" s="315" t="s">
        <v>65</v>
      </c>
      <c r="E6" s="316" t="s">
        <v>515</v>
      </c>
    </row>
    <row r="7" spans="1:5" x14ac:dyDescent="0.2">
      <c r="A7" s="319">
        <v>6</v>
      </c>
      <c r="B7" s="354"/>
      <c r="C7" s="319" t="s">
        <v>430</v>
      </c>
      <c r="D7" s="315" t="s">
        <v>65</v>
      </c>
      <c r="E7" s="316" t="s">
        <v>431</v>
      </c>
    </row>
    <row r="8" spans="1:5" x14ac:dyDescent="0.2">
      <c r="A8" s="319">
        <v>7</v>
      </c>
      <c r="B8" s="354"/>
      <c r="C8" s="319" t="s">
        <v>433</v>
      </c>
      <c r="D8" s="315" t="s">
        <v>57</v>
      </c>
      <c r="E8" s="316" t="s">
        <v>516</v>
      </c>
    </row>
    <row r="9" spans="1:5" x14ac:dyDescent="0.2">
      <c r="A9" s="319">
        <v>8</v>
      </c>
      <c r="B9" s="354"/>
      <c r="C9" s="319" t="s">
        <v>434</v>
      </c>
      <c r="D9" s="315" t="s">
        <v>58</v>
      </c>
      <c r="E9" s="316" t="s">
        <v>517</v>
      </c>
    </row>
    <row r="10" spans="1:5" x14ac:dyDescent="0.2">
      <c r="A10" s="319">
        <v>9</v>
      </c>
      <c r="B10" s="354"/>
      <c r="C10" s="319" t="s">
        <v>435</v>
      </c>
      <c r="D10" s="315" t="s">
        <v>47</v>
      </c>
      <c r="E10" s="316" t="s">
        <v>518</v>
      </c>
    </row>
    <row r="11" spans="1:5" x14ac:dyDescent="0.2">
      <c r="A11" s="319">
        <v>10</v>
      </c>
      <c r="B11" s="354"/>
      <c r="C11" s="321" t="s">
        <v>436</v>
      </c>
      <c r="D11" s="323" t="s">
        <v>63</v>
      </c>
      <c r="E11" s="322" t="s">
        <v>438</v>
      </c>
    </row>
    <row r="12" spans="1:5" x14ac:dyDescent="0.2">
      <c r="A12" s="319">
        <v>11</v>
      </c>
      <c r="B12" s="352" t="s">
        <v>386</v>
      </c>
      <c r="C12" s="319" t="s">
        <v>463</v>
      </c>
      <c r="D12" s="315" t="s">
        <v>459</v>
      </c>
      <c r="E12" s="316" t="s">
        <v>461</v>
      </c>
    </row>
    <row r="13" spans="1:5" x14ac:dyDescent="0.2">
      <c r="A13" s="319">
        <v>12</v>
      </c>
      <c r="B13" s="352"/>
      <c r="C13" s="319" t="s">
        <v>464</v>
      </c>
      <c r="D13" s="315" t="s">
        <v>460</v>
      </c>
      <c r="E13" s="316" t="s">
        <v>462</v>
      </c>
    </row>
    <row r="14" spans="1:5" ht="28.5" x14ac:dyDescent="0.2">
      <c r="A14" s="319"/>
      <c r="B14" s="352"/>
      <c r="C14" s="319" t="s">
        <v>503</v>
      </c>
      <c r="D14" s="324" t="s">
        <v>82</v>
      </c>
      <c r="E14" s="316" t="s">
        <v>504</v>
      </c>
    </row>
    <row r="15" spans="1:5" x14ac:dyDescent="0.2">
      <c r="A15" s="319">
        <v>13</v>
      </c>
      <c r="B15" s="352"/>
      <c r="C15" s="319" t="s">
        <v>440</v>
      </c>
      <c r="D15" s="316" t="s">
        <v>439</v>
      </c>
      <c r="E15" s="316" t="s">
        <v>511</v>
      </c>
    </row>
    <row r="16" spans="1:5" x14ac:dyDescent="0.2">
      <c r="A16" s="319">
        <v>14</v>
      </c>
      <c r="B16" s="352"/>
      <c r="C16" s="319" t="s">
        <v>441</v>
      </c>
      <c r="D16" s="315" t="s">
        <v>442</v>
      </c>
      <c r="E16" s="316" t="s">
        <v>519</v>
      </c>
    </row>
    <row r="17" spans="1:5" x14ac:dyDescent="0.2">
      <c r="A17" s="319">
        <v>15</v>
      </c>
      <c r="B17" s="352"/>
      <c r="C17" s="319" t="s">
        <v>445</v>
      </c>
      <c r="D17" s="316" t="s">
        <v>443</v>
      </c>
      <c r="E17" s="316" t="s">
        <v>511</v>
      </c>
    </row>
    <row r="18" spans="1:5" x14ac:dyDescent="0.2">
      <c r="A18" s="319">
        <v>16</v>
      </c>
      <c r="B18" s="352"/>
      <c r="C18" s="319" t="s">
        <v>446</v>
      </c>
      <c r="D18" s="315" t="s">
        <v>444</v>
      </c>
      <c r="E18" s="316" t="s">
        <v>511</v>
      </c>
    </row>
    <row r="19" spans="1:5" x14ac:dyDescent="0.2">
      <c r="A19" s="319">
        <v>17</v>
      </c>
      <c r="B19" s="352"/>
      <c r="C19" s="319" t="s">
        <v>447</v>
      </c>
      <c r="D19" s="316" t="s">
        <v>81</v>
      </c>
      <c r="E19" s="316" t="s">
        <v>519</v>
      </c>
    </row>
    <row r="20" spans="1:5" x14ac:dyDescent="0.2">
      <c r="A20" s="319"/>
      <c r="B20" s="352"/>
      <c r="C20" s="319" t="s">
        <v>520</v>
      </c>
      <c r="D20" s="316" t="s">
        <v>521</v>
      </c>
      <c r="E20" s="316" t="s">
        <v>519</v>
      </c>
    </row>
    <row r="21" spans="1:5" x14ac:dyDescent="0.2">
      <c r="A21" s="319">
        <v>18</v>
      </c>
      <c r="B21" s="352"/>
      <c r="C21" s="319" t="s">
        <v>448</v>
      </c>
      <c r="D21" s="316" t="s">
        <v>90</v>
      </c>
      <c r="E21" s="316" t="s">
        <v>519</v>
      </c>
    </row>
    <row r="22" spans="1:5" x14ac:dyDescent="0.2">
      <c r="A22" s="319">
        <v>19</v>
      </c>
      <c r="B22" s="352"/>
      <c r="C22" s="319" t="s">
        <v>449</v>
      </c>
      <c r="D22" s="316" t="s">
        <v>87</v>
      </c>
      <c r="E22" s="316" t="s">
        <v>508</v>
      </c>
    </row>
    <row r="23" spans="1:5" x14ac:dyDescent="0.2">
      <c r="A23" s="319">
        <v>20</v>
      </c>
      <c r="B23" s="352"/>
      <c r="C23" s="319" t="s">
        <v>450</v>
      </c>
      <c r="D23" s="316" t="s">
        <v>89</v>
      </c>
      <c r="E23" s="316" t="s">
        <v>505</v>
      </c>
    </row>
    <row r="24" spans="1:5" x14ac:dyDescent="0.2">
      <c r="A24" s="319">
        <v>21</v>
      </c>
      <c r="B24" s="352"/>
      <c r="C24" s="319" t="s">
        <v>451</v>
      </c>
      <c r="D24" s="316" t="s">
        <v>488</v>
      </c>
      <c r="E24" s="316" t="s">
        <v>489</v>
      </c>
    </row>
    <row r="25" spans="1:5" ht="28.5" x14ac:dyDescent="0.2">
      <c r="A25" s="319">
        <v>22</v>
      </c>
      <c r="B25" s="352"/>
      <c r="C25" s="319" t="s">
        <v>455</v>
      </c>
      <c r="D25" s="316" t="s">
        <v>452</v>
      </c>
      <c r="E25" s="316" t="s">
        <v>453</v>
      </c>
    </row>
    <row r="26" spans="1:5" ht="28.5" x14ac:dyDescent="0.2">
      <c r="A26" s="319">
        <v>23</v>
      </c>
      <c r="B26" s="352"/>
      <c r="C26" s="319" t="s">
        <v>456</v>
      </c>
      <c r="D26" s="315" t="s">
        <v>454</v>
      </c>
      <c r="E26" s="316" t="s">
        <v>468</v>
      </c>
    </row>
    <row r="27" spans="1:5" ht="28.5" x14ac:dyDescent="0.2">
      <c r="A27" s="319">
        <v>24</v>
      </c>
      <c r="B27" s="352"/>
      <c r="C27" s="319" t="s">
        <v>458</v>
      </c>
      <c r="D27" s="315" t="s">
        <v>457</v>
      </c>
      <c r="E27" s="316" t="s">
        <v>506</v>
      </c>
    </row>
    <row r="28" spans="1:5" ht="28.5" x14ac:dyDescent="0.2">
      <c r="A28" s="319">
        <v>25</v>
      </c>
      <c r="B28" s="352"/>
      <c r="C28" s="319" t="s">
        <v>469</v>
      </c>
      <c r="D28" s="315" t="s">
        <v>465</v>
      </c>
      <c r="E28" s="316" t="s">
        <v>467</v>
      </c>
    </row>
    <row r="29" spans="1:5" ht="28.5" x14ac:dyDescent="0.2">
      <c r="A29" s="319">
        <v>26</v>
      </c>
      <c r="B29" s="352"/>
      <c r="C29" s="319" t="s">
        <v>470</v>
      </c>
      <c r="D29" s="315" t="s">
        <v>466</v>
      </c>
      <c r="E29" s="316" t="s">
        <v>471</v>
      </c>
    </row>
    <row r="30" spans="1:5" x14ac:dyDescent="0.2">
      <c r="A30" s="319">
        <v>27</v>
      </c>
      <c r="B30" s="352"/>
      <c r="C30" s="319" t="s">
        <v>476</v>
      </c>
      <c r="D30" s="315" t="s">
        <v>472</v>
      </c>
      <c r="E30" s="316" t="s">
        <v>474</v>
      </c>
    </row>
    <row r="31" spans="1:5" x14ac:dyDescent="0.2">
      <c r="A31" s="319">
        <v>28</v>
      </c>
      <c r="B31" s="352"/>
      <c r="C31" s="319" t="s">
        <v>477</v>
      </c>
      <c r="D31" s="315" t="s">
        <v>473</v>
      </c>
      <c r="E31" s="316" t="s">
        <v>475</v>
      </c>
    </row>
    <row r="32" spans="1:5" ht="28.5" x14ac:dyDescent="0.2">
      <c r="A32" s="319">
        <v>29</v>
      </c>
      <c r="B32" s="352"/>
      <c r="C32" s="319" t="s">
        <v>479</v>
      </c>
      <c r="D32" s="315" t="s">
        <v>478</v>
      </c>
      <c r="E32" s="316" t="s">
        <v>474</v>
      </c>
    </row>
    <row r="33" spans="1:5" ht="28.5" x14ac:dyDescent="0.2">
      <c r="A33" s="319">
        <v>30</v>
      </c>
      <c r="B33" s="352"/>
      <c r="C33" s="319" t="s">
        <v>480</v>
      </c>
      <c r="D33" s="315" t="s">
        <v>485</v>
      </c>
      <c r="E33" s="316" t="s">
        <v>475</v>
      </c>
    </row>
    <row r="34" spans="1:5" x14ac:dyDescent="0.2">
      <c r="A34" s="319">
        <v>31</v>
      </c>
      <c r="B34" s="352"/>
      <c r="C34" s="319" t="s">
        <v>481</v>
      </c>
      <c r="D34" s="315" t="s">
        <v>486</v>
      </c>
      <c r="E34" s="316" t="s">
        <v>475</v>
      </c>
    </row>
    <row r="35" spans="1:5" ht="28.5" x14ac:dyDescent="0.2">
      <c r="A35" s="319">
        <v>32</v>
      </c>
      <c r="B35" s="352"/>
      <c r="C35" s="319" t="s">
        <v>482</v>
      </c>
      <c r="D35" s="315" t="s">
        <v>487</v>
      </c>
      <c r="E35" s="316" t="s">
        <v>530</v>
      </c>
    </row>
    <row r="36" spans="1:5" x14ac:dyDescent="0.2">
      <c r="A36" s="319">
        <v>33</v>
      </c>
      <c r="B36" s="352"/>
      <c r="C36" s="319" t="s">
        <v>483</v>
      </c>
      <c r="D36" s="315" t="s">
        <v>184</v>
      </c>
      <c r="E36" s="316" t="s">
        <v>484</v>
      </c>
    </row>
    <row r="37" spans="1:5" x14ac:dyDescent="0.2">
      <c r="A37" s="319">
        <v>34</v>
      </c>
      <c r="B37" s="352" t="s">
        <v>385</v>
      </c>
      <c r="C37" s="319" t="s">
        <v>490</v>
      </c>
      <c r="D37" s="316" t="s">
        <v>115</v>
      </c>
      <c r="E37" s="316" t="s">
        <v>491</v>
      </c>
    </row>
    <row r="38" spans="1:5" ht="28.5" x14ac:dyDescent="0.2">
      <c r="A38" s="319">
        <v>35</v>
      </c>
      <c r="B38" s="352"/>
      <c r="C38" s="319" t="s">
        <v>493</v>
      </c>
      <c r="D38" s="316" t="s">
        <v>492</v>
      </c>
      <c r="E38" s="316" t="s">
        <v>494</v>
      </c>
    </row>
    <row r="39" spans="1:5" x14ac:dyDescent="0.2">
      <c r="A39" s="319">
        <v>36</v>
      </c>
      <c r="B39" s="352"/>
      <c r="C39" s="319" t="s">
        <v>495</v>
      </c>
      <c r="D39" s="316" t="s">
        <v>120</v>
      </c>
      <c r="E39" s="316" t="s">
        <v>498</v>
      </c>
    </row>
    <row r="40" spans="1:5" x14ac:dyDescent="0.2">
      <c r="A40" s="319">
        <v>37</v>
      </c>
      <c r="B40" s="352"/>
      <c r="C40" s="319" t="s">
        <v>496</v>
      </c>
      <c r="D40" s="316" t="s">
        <v>121</v>
      </c>
      <c r="E40" s="316" t="s">
        <v>499</v>
      </c>
    </row>
    <row r="41" spans="1:5" x14ac:dyDescent="0.2">
      <c r="A41" s="319">
        <v>38</v>
      </c>
      <c r="B41" s="352"/>
      <c r="C41" s="319" t="s">
        <v>497</v>
      </c>
      <c r="D41" s="316" t="s">
        <v>122</v>
      </c>
      <c r="E41" s="316" t="s">
        <v>499</v>
      </c>
    </row>
    <row r="42" spans="1:5" ht="28.5" x14ac:dyDescent="0.2">
      <c r="A42" s="319">
        <v>40</v>
      </c>
      <c r="B42" s="325" t="s">
        <v>507</v>
      </c>
      <c r="C42" s="318" t="s">
        <v>500</v>
      </c>
      <c r="D42" s="308" t="s">
        <v>139</v>
      </c>
      <c r="E42" s="308" t="s">
        <v>501</v>
      </c>
    </row>
    <row r="43" spans="1:5" ht="28.5" x14ac:dyDescent="0.2">
      <c r="A43" s="326">
        <v>41</v>
      </c>
      <c r="B43" s="327" t="s">
        <v>214</v>
      </c>
      <c r="C43" s="326" t="s">
        <v>509</v>
      </c>
      <c r="D43" s="328" t="s">
        <v>230</v>
      </c>
      <c r="E43" s="329">
        <v>0.2</v>
      </c>
    </row>
  </sheetData>
  <mergeCells count="4">
    <mergeCell ref="B12:B36"/>
    <mergeCell ref="B37:B41"/>
    <mergeCell ref="B2:B4"/>
    <mergeCell ref="B5:B11"/>
  </mergeCells>
  <phoneticPr fontId="41" type="noConversion"/>
  <hyperlinks>
    <hyperlink ref="B5" location="'Параметры Расходы'!A1" display="Парметры Расходы" xr:uid="{4C61D1CB-7635-4D4C-95F9-5FB01E0CE6EC}"/>
    <hyperlink ref="B12" location="'Параметры инвестиции'!A1" display="Параметры инвестиции" xr:uid="{F9228D81-FABA-447C-8BC6-A3D3D3BD47EF}"/>
    <hyperlink ref="B37" location="'Параметры финансирование'!A1" display="Параметры финансирование" xr:uid="{D54940F4-B275-456A-BED8-35B8101560B8}"/>
    <hyperlink ref="B42" location="Амортизация!A1" display="Параметры Амортизация" xr:uid="{CC68EE5A-FCD6-4CC4-849B-4A218F4C109D}"/>
    <hyperlink ref="B43" location="'Возврат инвестиций'!A1" display="Возврат инвестиций" xr:uid="{86B3B7DC-5E01-4D0E-8276-1DB3F5FE78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CC"/>
  </sheetPr>
  <dimension ref="A1:AA73"/>
  <sheetViews>
    <sheetView zoomScaleNormal="100" workbookViewId="0">
      <selection activeCell="A15" sqref="A15"/>
    </sheetView>
  </sheetViews>
  <sheetFormatPr defaultRowHeight="14.25" x14ac:dyDescent="0.2"/>
  <cols>
    <col min="1" max="1" width="31" style="1" bestFit="1" customWidth="1"/>
    <col min="2" max="2" width="23.42578125" style="1" bestFit="1" customWidth="1"/>
    <col min="3" max="3" width="24" style="1" bestFit="1" customWidth="1"/>
    <col min="4" max="4" width="29.7109375" style="1" bestFit="1" customWidth="1"/>
    <col min="5" max="5" width="26.7109375" style="1" customWidth="1"/>
    <col min="6" max="25" width="12.7109375" style="1" customWidth="1"/>
    <col min="26" max="26" width="12.85546875" style="1" customWidth="1"/>
    <col min="27" max="27" width="27.7109375" style="1" customWidth="1"/>
    <col min="28" max="16384" width="9.140625" style="1"/>
  </cols>
  <sheetData>
    <row r="1" spans="1:27" ht="15" thickBot="1" x14ac:dyDescent="0.25"/>
    <row r="2" spans="1:27" s="2" customFormat="1" ht="27.75" thickTop="1" thickBot="1" x14ac:dyDescent="0.45">
      <c r="A2" s="362" t="s">
        <v>6</v>
      </c>
      <c r="B2" s="362"/>
      <c r="C2" s="363"/>
    </row>
    <row r="3" spans="1:27" s="3" customFormat="1" ht="15" thickTop="1" x14ac:dyDescent="0.2">
      <c r="F3" s="355" t="s">
        <v>34</v>
      </c>
      <c r="G3" s="356"/>
      <c r="H3" s="356"/>
      <c r="I3" s="357"/>
      <c r="J3" s="355" t="s">
        <v>35</v>
      </c>
      <c r="K3" s="356"/>
      <c r="L3" s="356"/>
      <c r="M3" s="357"/>
      <c r="N3" s="355" t="s">
        <v>36</v>
      </c>
      <c r="O3" s="356"/>
      <c r="P3" s="356"/>
      <c r="Q3" s="357"/>
      <c r="R3" s="355" t="s">
        <v>37</v>
      </c>
      <c r="S3" s="356"/>
      <c r="T3" s="356"/>
      <c r="U3" s="357"/>
      <c r="V3" s="355" t="s">
        <v>38</v>
      </c>
      <c r="W3" s="356"/>
      <c r="X3" s="356"/>
      <c r="Y3" s="357"/>
    </row>
    <row r="4" spans="1:27" s="3" customFormat="1" ht="60" x14ac:dyDescent="0.25">
      <c r="A4" s="4" t="str">
        <f>A14</f>
        <v>Бизнес направления</v>
      </c>
      <c r="B4" s="4" t="str">
        <f>C14</f>
        <v>Цены, руб.</v>
      </c>
      <c r="C4" s="5" t="s">
        <v>399</v>
      </c>
      <c r="D4" s="5" t="s">
        <v>9</v>
      </c>
      <c r="E4" s="6" t="s">
        <v>10</v>
      </c>
      <c r="F4" s="7" t="str">
        <f>F14</f>
        <v>1 кв.</v>
      </c>
      <c r="G4" s="3" t="str">
        <f t="shared" ref="G4:Y4" si="0">G14</f>
        <v>2 кв.</v>
      </c>
      <c r="H4" s="3" t="str">
        <f t="shared" si="0"/>
        <v>3 кв.</v>
      </c>
      <c r="I4" s="8" t="str">
        <f t="shared" si="0"/>
        <v>4 кв.</v>
      </c>
      <c r="J4" s="7" t="str">
        <f t="shared" si="0"/>
        <v>5 кв.</v>
      </c>
      <c r="K4" s="3" t="str">
        <f t="shared" si="0"/>
        <v>6 кв.</v>
      </c>
      <c r="L4" s="3" t="str">
        <f t="shared" si="0"/>
        <v>7 кв.</v>
      </c>
      <c r="M4" s="8" t="str">
        <f t="shared" si="0"/>
        <v>8 кв.</v>
      </c>
      <c r="N4" s="7" t="str">
        <f t="shared" si="0"/>
        <v>9 кв.</v>
      </c>
      <c r="O4" s="3" t="str">
        <f t="shared" si="0"/>
        <v>10 кв.</v>
      </c>
      <c r="P4" s="3" t="str">
        <f t="shared" si="0"/>
        <v>11 кв.</v>
      </c>
      <c r="Q4" s="8" t="str">
        <f t="shared" si="0"/>
        <v>12 кв.</v>
      </c>
      <c r="R4" s="7" t="str">
        <f t="shared" si="0"/>
        <v>13 кв.</v>
      </c>
      <c r="S4" s="3" t="str">
        <f t="shared" si="0"/>
        <v>14 кв.</v>
      </c>
      <c r="T4" s="3" t="str">
        <f t="shared" si="0"/>
        <v>15 кв.</v>
      </c>
      <c r="U4" s="8" t="str">
        <f t="shared" si="0"/>
        <v>16 кв.</v>
      </c>
      <c r="V4" s="7" t="str">
        <f t="shared" si="0"/>
        <v>17 кв.</v>
      </c>
      <c r="W4" s="3" t="str">
        <f t="shared" si="0"/>
        <v>18 кв.</v>
      </c>
      <c r="X4" s="3" t="str">
        <f t="shared" si="0"/>
        <v>19 кв.</v>
      </c>
      <c r="Y4" s="8" t="str">
        <f t="shared" si="0"/>
        <v>20 кв.</v>
      </c>
      <c r="Z4" s="9" t="s">
        <v>7</v>
      </c>
      <c r="AA4" s="9" t="s">
        <v>39</v>
      </c>
    </row>
    <row r="5" spans="1:27" s="3" customFormat="1" ht="15" x14ac:dyDescent="0.25">
      <c r="A5" s="3" t="str">
        <f t="shared" ref="A5" si="1">A15</f>
        <v>Печь "ХЛЕБОПЕЧКА"</v>
      </c>
      <c r="B5" s="10">
        <f>C15</f>
        <v>3690000</v>
      </c>
      <c r="C5" s="10">
        <f>C21</f>
        <v>6</v>
      </c>
      <c r="D5" s="10">
        <f>B5*C5</f>
        <v>22140000</v>
      </c>
      <c r="E5" s="10">
        <f>D5*3</f>
        <v>66420000</v>
      </c>
      <c r="F5" s="11">
        <f t="shared" ref="F5:Y5" si="2">$E5*F15</f>
        <v>0</v>
      </c>
      <c r="G5" s="10">
        <f t="shared" si="2"/>
        <v>39852000</v>
      </c>
      <c r="H5" s="10">
        <f t="shared" si="2"/>
        <v>46494000</v>
      </c>
      <c r="I5" s="12">
        <f t="shared" si="2"/>
        <v>53136000</v>
      </c>
      <c r="J5" s="11">
        <f t="shared" si="2"/>
        <v>59778000</v>
      </c>
      <c r="K5" s="10">
        <f t="shared" si="2"/>
        <v>66420000</v>
      </c>
      <c r="L5" s="10">
        <f t="shared" si="2"/>
        <v>66420000</v>
      </c>
      <c r="M5" s="12">
        <f t="shared" si="2"/>
        <v>66420000</v>
      </c>
      <c r="N5" s="11">
        <f t="shared" si="2"/>
        <v>66420000</v>
      </c>
      <c r="O5" s="10">
        <f t="shared" si="2"/>
        <v>66420000</v>
      </c>
      <c r="P5" s="10">
        <f t="shared" si="2"/>
        <v>66420000</v>
      </c>
      <c r="Q5" s="12">
        <f t="shared" si="2"/>
        <v>66420000</v>
      </c>
      <c r="R5" s="11">
        <f t="shared" si="2"/>
        <v>66420000</v>
      </c>
      <c r="S5" s="10">
        <f t="shared" si="2"/>
        <v>66420000</v>
      </c>
      <c r="T5" s="10">
        <f t="shared" si="2"/>
        <v>66420000</v>
      </c>
      <c r="U5" s="12">
        <f t="shared" si="2"/>
        <v>66420000</v>
      </c>
      <c r="V5" s="11">
        <f t="shared" si="2"/>
        <v>66420000</v>
      </c>
      <c r="W5" s="10">
        <f t="shared" si="2"/>
        <v>66420000</v>
      </c>
      <c r="X5" s="10">
        <f t="shared" si="2"/>
        <v>66420000</v>
      </c>
      <c r="Y5" s="12">
        <f t="shared" si="2"/>
        <v>66420000</v>
      </c>
      <c r="Z5" s="13">
        <f>SUM(F5:Y5)</f>
        <v>1195560000</v>
      </c>
      <c r="AA5" s="10">
        <f>E5*4</f>
        <v>265680000</v>
      </c>
    </row>
    <row r="6" spans="1:27" s="3" customFormat="1" ht="15" hidden="1" x14ac:dyDescent="0.25">
      <c r="B6" s="10"/>
      <c r="C6" s="10"/>
      <c r="D6" s="10"/>
      <c r="E6" s="10"/>
      <c r="F6" s="11"/>
      <c r="G6" s="10"/>
      <c r="H6" s="10"/>
      <c r="I6" s="12"/>
      <c r="J6" s="11"/>
      <c r="K6" s="10"/>
      <c r="L6" s="10"/>
      <c r="M6" s="12"/>
      <c r="N6" s="11"/>
      <c r="O6" s="10"/>
      <c r="P6" s="10"/>
      <c r="Q6" s="12"/>
      <c r="R6" s="11"/>
      <c r="S6" s="10"/>
      <c r="T6" s="10"/>
      <c r="U6" s="12"/>
      <c r="V6" s="11"/>
      <c r="W6" s="10"/>
      <c r="X6" s="10"/>
      <c r="Y6" s="12"/>
      <c r="Z6" s="13"/>
      <c r="AA6" s="10"/>
    </row>
    <row r="7" spans="1:27" s="3" customFormat="1" ht="15" hidden="1" x14ac:dyDescent="0.25">
      <c r="B7" s="10"/>
      <c r="C7" s="10"/>
      <c r="D7" s="10"/>
      <c r="E7" s="10"/>
      <c r="F7" s="11"/>
      <c r="G7" s="10"/>
      <c r="H7" s="10"/>
      <c r="I7" s="12"/>
      <c r="J7" s="11"/>
      <c r="K7" s="10"/>
      <c r="L7" s="10"/>
      <c r="M7" s="12"/>
      <c r="N7" s="11"/>
      <c r="O7" s="10"/>
      <c r="P7" s="10"/>
      <c r="Q7" s="12"/>
      <c r="R7" s="11"/>
      <c r="S7" s="10"/>
      <c r="T7" s="10"/>
      <c r="U7" s="12"/>
      <c r="V7" s="11"/>
      <c r="W7" s="10"/>
      <c r="X7" s="10"/>
      <c r="Y7" s="12"/>
      <c r="Z7" s="13"/>
      <c r="AA7" s="10"/>
    </row>
    <row r="8" spans="1:27" s="3" customFormat="1" ht="15" x14ac:dyDescent="0.25">
      <c r="A8" s="9" t="s">
        <v>7</v>
      </c>
      <c r="B8" s="13"/>
      <c r="C8" s="13"/>
      <c r="D8" s="13">
        <f t="shared" ref="D8:Z8" si="3">SUM(D5:D7)</f>
        <v>22140000</v>
      </c>
      <c r="E8" s="13">
        <f t="shared" si="3"/>
        <v>66420000</v>
      </c>
      <c r="F8" s="14">
        <f t="shared" si="3"/>
        <v>0</v>
      </c>
      <c r="G8" s="13">
        <f t="shared" si="3"/>
        <v>39852000</v>
      </c>
      <c r="H8" s="13">
        <f t="shared" si="3"/>
        <v>46494000</v>
      </c>
      <c r="I8" s="15">
        <f t="shared" si="3"/>
        <v>53136000</v>
      </c>
      <c r="J8" s="14">
        <f t="shared" si="3"/>
        <v>59778000</v>
      </c>
      <c r="K8" s="13">
        <f t="shared" si="3"/>
        <v>66420000</v>
      </c>
      <c r="L8" s="13">
        <f t="shared" si="3"/>
        <v>66420000</v>
      </c>
      <c r="M8" s="15">
        <f t="shared" si="3"/>
        <v>66420000</v>
      </c>
      <c r="N8" s="14">
        <f t="shared" si="3"/>
        <v>66420000</v>
      </c>
      <c r="O8" s="13">
        <f t="shared" si="3"/>
        <v>66420000</v>
      </c>
      <c r="P8" s="13">
        <f t="shared" si="3"/>
        <v>66420000</v>
      </c>
      <c r="Q8" s="15">
        <f t="shared" si="3"/>
        <v>66420000</v>
      </c>
      <c r="R8" s="14">
        <f t="shared" si="3"/>
        <v>66420000</v>
      </c>
      <c r="S8" s="13">
        <f t="shared" si="3"/>
        <v>66420000</v>
      </c>
      <c r="T8" s="13">
        <f t="shared" si="3"/>
        <v>66420000</v>
      </c>
      <c r="U8" s="15">
        <f t="shared" si="3"/>
        <v>66420000</v>
      </c>
      <c r="V8" s="14">
        <f t="shared" si="3"/>
        <v>66420000</v>
      </c>
      <c r="W8" s="13">
        <f t="shared" si="3"/>
        <v>66420000</v>
      </c>
      <c r="X8" s="13">
        <f t="shared" si="3"/>
        <v>66420000</v>
      </c>
      <c r="Y8" s="15">
        <f t="shared" si="3"/>
        <v>66420000</v>
      </c>
      <c r="Z8" s="13">
        <f t="shared" si="3"/>
        <v>1195560000</v>
      </c>
    </row>
    <row r="9" spans="1:27" s="3" customFormat="1" ht="15.75" thickBot="1" x14ac:dyDescent="0.3">
      <c r="F9" s="360">
        <f>SUM(F8:I8)</f>
        <v>139482000</v>
      </c>
      <c r="G9" s="361"/>
      <c r="H9" s="361"/>
      <c r="I9" s="361"/>
      <c r="J9" s="360">
        <f t="shared" ref="J9" si="4">SUM(J8:M8)</f>
        <v>259038000</v>
      </c>
      <c r="K9" s="361"/>
      <c r="L9" s="361"/>
      <c r="M9" s="361"/>
      <c r="N9" s="360">
        <f t="shared" ref="N9" si="5">SUM(N8:Q8)</f>
        <v>265680000</v>
      </c>
      <c r="O9" s="361"/>
      <c r="P9" s="361"/>
      <c r="Q9" s="361"/>
      <c r="R9" s="360">
        <f t="shared" ref="R9" si="6">SUM(R8:U8)</f>
        <v>265680000</v>
      </c>
      <c r="S9" s="361"/>
      <c r="T9" s="361"/>
      <c r="U9" s="361"/>
      <c r="V9" s="360">
        <f t="shared" ref="V9" si="7">SUM(V8:Y8)</f>
        <v>265680000</v>
      </c>
      <c r="W9" s="361"/>
      <c r="X9" s="361"/>
      <c r="Y9" s="361"/>
      <c r="Z9" s="13">
        <f>SUM(F9:Y9)</f>
        <v>1195560000</v>
      </c>
      <c r="AA9" s="10">
        <f>Z9</f>
        <v>1195560000</v>
      </c>
    </row>
    <row r="10" spans="1:27" s="16" customFormat="1" ht="15.75" thickTop="1" thickBot="1" x14ac:dyDescent="0.25"/>
    <row r="11" spans="1:27" s="17" customFormat="1" ht="27.75" thickTop="1" thickBot="1" x14ac:dyDescent="0.45">
      <c r="A11" s="358" t="s">
        <v>0</v>
      </c>
      <c r="B11" s="358"/>
      <c r="C11" s="359"/>
    </row>
    <row r="12" spans="1:27" s="18" customFormat="1" ht="15" thickTop="1" x14ac:dyDescent="0.2"/>
    <row r="13" spans="1:27" s="18" customFormat="1" x14ac:dyDescent="0.2">
      <c r="A13" s="19" t="s">
        <v>1</v>
      </c>
      <c r="B13" s="20"/>
      <c r="C13" s="20"/>
      <c r="E13" s="364" t="s">
        <v>11</v>
      </c>
      <c r="F13" s="364"/>
      <c r="G13" s="364"/>
      <c r="H13" s="364"/>
    </row>
    <row r="14" spans="1:27" s="18" customFormat="1" ht="15" x14ac:dyDescent="0.25">
      <c r="A14" s="21" t="s">
        <v>2</v>
      </c>
      <c r="B14" s="21" t="s">
        <v>3</v>
      </c>
      <c r="C14" s="22" t="s">
        <v>4</v>
      </c>
      <c r="E14" s="18" t="str">
        <f>A14</f>
        <v>Бизнес направления</v>
      </c>
      <c r="F14" s="18" t="s">
        <v>12</v>
      </c>
      <c r="G14" s="18" t="s">
        <v>13</v>
      </c>
      <c r="H14" s="18" t="s">
        <v>14</v>
      </c>
      <c r="I14" s="18" t="s">
        <v>15</v>
      </c>
      <c r="J14" s="18" t="s">
        <v>16</v>
      </c>
      <c r="K14" s="18" t="s">
        <v>17</v>
      </c>
      <c r="L14" s="18" t="s">
        <v>18</v>
      </c>
      <c r="M14" s="18" t="s">
        <v>19</v>
      </c>
      <c r="N14" s="18" t="s">
        <v>20</v>
      </c>
      <c r="O14" s="18" t="s">
        <v>21</v>
      </c>
      <c r="P14" s="18" t="s">
        <v>22</v>
      </c>
      <c r="Q14" s="18" t="s">
        <v>23</v>
      </c>
      <c r="R14" s="18" t="s">
        <v>24</v>
      </c>
      <c r="S14" s="18" t="s">
        <v>25</v>
      </c>
      <c r="T14" s="18" t="s">
        <v>26</v>
      </c>
      <c r="U14" s="18" t="s">
        <v>27</v>
      </c>
      <c r="V14" s="18" t="s">
        <v>28</v>
      </c>
      <c r="W14" s="18" t="s">
        <v>29</v>
      </c>
      <c r="X14" s="18" t="s">
        <v>30</v>
      </c>
      <c r="Y14" s="18" t="s">
        <v>31</v>
      </c>
    </row>
    <row r="15" spans="1:27" s="18" customFormat="1" x14ac:dyDescent="0.2">
      <c r="A15" s="23" t="s">
        <v>531</v>
      </c>
      <c r="B15" s="24" t="s">
        <v>394</v>
      </c>
      <c r="C15" s="25">
        <v>3690000</v>
      </c>
      <c r="E15" s="18" t="str">
        <f>A15</f>
        <v>Печь "ХЛЕБОПЕЧКА"</v>
      </c>
      <c r="F15" s="26">
        <v>0</v>
      </c>
      <c r="G15" s="26">
        <v>0.6</v>
      </c>
      <c r="H15" s="27">
        <v>0.7</v>
      </c>
      <c r="I15" s="27">
        <v>0.8</v>
      </c>
      <c r="J15" s="27">
        <v>0.9</v>
      </c>
      <c r="K15" s="27">
        <v>1</v>
      </c>
      <c r="L15" s="27">
        <v>1</v>
      </c>
      <c r="M15" s="27">
        <v>1</v>
      </c>
      <c r="N15" s="27">
        <v>1</v>
      </c>
      <c r="O15" s="27">
        <v>1</v>
      </c>
      <c r="P15" s="27">
        <v>1</v>
      </c>
      <c r="Q15" s="27">
        <v>1</v>
      </c>
      <c r="R15" s="27">
        <v>1</v>
      </c>
      <c r="S15" s="27">
        <v>1</v>
      </c>
      <c r="T15" s="27">
        <v>1</v>
      </c>
      <c r="U15" s="27">
        <v>1</v>
      </c>
      <c r="V15" s="27">
        <v>1</v>
      </c>
      <c r="W15" s="27">
        <v>1</v>
      </c>
      <c r="X15" s="27">
        <v>1</v>
      </c>
      <c r="Y15" s="27">
        <v>1</v>
      </c>
    </row>
    <row r="16" spans="1:27" s="18" customFormat="1" hidden="1" x14ac:dyDescent="0.2">
      <c r="A16" s="28"/>
      <c r="B16" s="29"/>
      <c r="C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s="18" customFormat="1" hidden="1" x14ac:dyDescent="0.2">
      <c r="A17" s="28"/>
      <c r="B17" s="29"/>
      <c r="C17" s="30"/>
      <c r="F17" s="26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s="18" customFormat="1" x14ac:dyDescent="0.2">
      <c r="C18" s="31"/>
      <c r="E18" s="18" t="s">
        <v>33</v>
      </c>
      <c r="F18" s="32">
        <f t="shared" ref="F18:Y18" si="8">AVERAGE(F15:F17)</f>
        <v>0</v>
      </c>
      <c r="G18" s="32">
        <f t="shared" si="8"/>
        <v>0.6</v>
      </c>
      <c r="H18" s="32">
        <f t="shared" si="8"/>
        <v>0.7</v>
      </c>
      <c r="I18" s="32">
        <f t="shared" si="8"/>
        <v>0.8</v>
      </c>
      <c r="J18" s="32">
        <f t="shared" si="8"/>
        <v>0.9</v>
      </c>
      <c r="K18" s="32">
        <f t="shared" si="8"/>
        <v>1</v>
      </c>
      <c r="L18" s="32">
        <f t="shared" si="8"/>
        <v>1</v>
      </c>
      <c r="M18" s="32">
        <f t="shared" si="8"/>
        <v>1</v>
      </c>
      <c r="N18" s="32">
        <f t="shared" si="8"/>
        <v>1</v>
      </c>
      <c r="O18" s="32">
        <f t="shared" si="8"/>
        <v>1</v>
      </c>
      <c r="P18" s="32">
        <f t="shared" si="8"/>
        <v>1</v>
      </c>
      <c r="Q18" s="32">
        <f t="shared" si="8"/>
        <v>1</v>
      </c>
      <c r="R18" s="32">
        <f t="shared" si="8"/>
        <v>1</v>
      </c>
      <c r="S18" s="32">
        <f t="shared" si="8"/>
        <v>1</v>
      </c>
      <c r="T18" s="32">
        <f t="shared" si="8"/>
        <v>1</v>
      </c>
      <c r="U18" s="32">
        <f t="shared" si="8"/>
        <v>1</v>
      </c>
      <c r="V18" s="32">
        <f t="shared" si="8"/>
        <v>1</v>
      </c>
      <c r="W18" s="32">
        <f t="shared" si="8"/>
        <v>1</v>
      </c>
      <c r="X18" s="32">
        <f t="shared" si="8"/>
        <v>1</v>
      </c>
      <c r="Y18" s="32">
        <f t="shared" si="8"/>
        <v>1</v>
      </c>
    </row>
    <row r="19" spans="1:25" s="18" customFormat="1" x14ac:dyDescent="0.2">
      <c r="A19" s="19" t="s">
        <v>5</v>
      </c>
      <c r="B19" s="20"/>
      <c r="C19" s="33"/>
      <c r="E19" s="18">
        <f>SUM(F19:Y19)+1</f>
        <v>5</v>
      </c>
      <c r="F19" s="18">
        <f>IF(F18&lt;90%,1,0)</f>
        <v>1</v>
      </c>
      <c r="G19" s="18">
        <f t="shared" ref="G19:Y19" si="9">IF(G18&lt;90%,1,0)</f>
        <v>1</v>
      </c>
      <c r="H19" s="18">
        <f t="shared" si="9"/>
        <v>1</v>
      </c>
      <c r="I19" s="18">
        <f t="shared" si="9"/>
        <v>1</v>
      </c>
      <c r="J19" s="18">
        <f t="shared" si="9"/>
        <v>0</v>
      </c>
      <c r="K19" s="18">
        <f t="shared" si="9"/>
        <v>0</v>
      </c>
      <c r="L19" s="18">
        <f t="shared" si="9"/>
        <v>0</v>
      </c>
      <c r="M19" s="18">
        <f t="shared" si="9"/>
        <v>0</v>
      </c>
      <c r="N19" s="18">
        <f t="shared" si="9"/>
        <v>0</v>
      </c>
      <c r="O19" s="18">
        <f t="shared" si="9"/>
        <v>0</v>
      </c>
      <c r="P19" s="18">
        <f t="shared" si="9"/>
        <v>0</v>
      </c>
      <c r="Q19" s="18">
        <f t="shared" si="9"/>
        <v>0</v>
      </c>
      <c r="R19" s="18">
        <f t="shared" si="9"/>
        <v>0</v>
      </c>
      <c r="S19" s="18">
        <f t="shared" si="9"/>
        <v>0</v>
      </c>
      <c r="T19" s="18">
        <f t="shared" si="9"/>
        <v>0</v>
      </c>
      <c r="U19" s="18">
        <f t="shared" si="9"/>
        <v>0</v>
      </c>
      <c r="V19" s="18">
        <f t="shared" si="9"/>
        <v>0</v>
      </c>
      <c r="W19" s="18">
        <f t="shared" si="9"/>
        <v>0</v>
      </c>
      <c r="X19" s="18">
        <f t="shared" si="9"/>
        <v>0</v>
      </c>
      <c r="Y19" s="18">
        <f t="shared" si="9"/>
        <v>0</v>
      </c>
    </row>
    <row r="20" spans="1:25" s="18" customFormat="1" ht="35.25" customHeight="1" x14ac:dyDescent="0.2">
      <c r="A20" s="126" t="str">
        <f>A14</f>
        <v>Бизнес направления</v>
      </c>
      <c r="B20" s="126" t="s">
        <v>3</v>
      </c>
      <c r="C20" s="64" t="s">
        <v>8</v>
      </c>
    </row>
    <row r="21" spans="1:25" s="18" customFormat="1" x14ac:dyDescent="0.2">
      <c r="A21" s="34" t="str">
        <f>A15</f>
        <v>Печь "ХЛЕБОПЕЧКА"</v>
      </c>
      <c r="B21" s="24" t="s">
        <v>396</v>
      </c>
      <c r="C21" s="25">
        <v>6</v>
      </c>
    </row>
    <row r="22" spans="1:25" s="18" customFormat="1" hidden="1" x14ac:dyDescent="0.2">
      <c r="A22" s="34"/>
      <c r="B22" s="29" t="s">
        <v>396</v>
      </c>
      <c r="C22" s="30">
        <v>0</v>
      </c>
    </row>
    <row r="23" spans="1:25" s="18" customFormat="1" hidden="1" x14ac:dyDescent="0.2">
      <c r="A23" s="34"/>
      <c r="B23" s="29" t="s">
        <v>396</v>
      </c>
      <c r="C23" s="30">
        <v>0</v>
      </c>
    </row>
    <row r="24" spans="1:25" s="18" customFormat="1" x14ac:dyDescent="0.2"/>
    <row r="25" spans="1:25" s="18" customFormat="1" x14ac:dyDescent="0.2">
      <c r="A25" s="116">
        <f>MIN(ОДДС!F52:Y52)</f>
        <v>690807.6114385426</v>
      </c>
      <c r="B25" s="100" t="s">
        <v>213</v>
      </c>
      <c r="C25" s="100"/>
      <c r="D25" s="100"/>
      <c r="E25" s="100"/>
      <c r="F25" s="100"/>
    </row>
    <row r="26" spans="1:25" s="18" customFormat="1" x14ac:dyDescent="0.2">
      <c r="A26" s="117">
        <f>'Инвестиционный анализ'!C14</f>
        <v>3.25</v>
      </c>
      <c r="B26" s="100" t="s">
        <v>227</v>
      </c>
      <c r="C26" s="100"/>
      <c r="D26" s="100"/>
      <c r="E26" s="100"/>
      <c r="F26" s="100"/>
    </row>
    <row r="27" spans="1:25" s="18" customFormat="1" x14ac:dyDescent="0.2">
      <c r="A27" s="116">
        <f>'Инвестиционный анализ'!B30</f>
        <v>959396.4610064748</v>
      </c>
      <c r="B27" s="367" t="s">
        <v>258</v>
      </c>
      <c r="C27" s="367"/>
      <c r="D27" s="367"/>
      <c r="E27" s="367"/>
      <c r="F27" s="367"/>
    </row>
    <row r="28" spans="1:25" s="18" customFormat="1" x14ac:dyDescent="0.2">
      <c r="A28" s="124">
        <f>'Инвестиционный анализ'!C27</f>
        <v>0.2</v>
      </c>
      <c r="B28" s="18" t="s">
        <v>249</v>
      </c>
    </row>
    <row r="29" spans="1:25" s="18" customFormat="1" x14ac:dyDescent="0.2">
      <c r="A29" s="124">
        <f>'Инвестиционный анализ'!C34</f>
        <v>0.2051078541210396</v>
      </c>
      <c r="B29" s="18" t="s">
        <v>273</v>
      </c>
    </row>
    <row r="30" spans="1:25" s="18" customFormat="1" x14ac:dyDescent="0.2">
      <c r="A30" s="124">
        <f>'Центры прибыли'!B17</f>
        <v>0.70635521468244888</v>
      </c>
      <c r="B30" s="18" t="s">
        <v>316</v>
      </c>
    </row>
    <row r="31" spans="1:25" s="18" customFormat="1" x14ac:dyDescent="0.2">
      <c r="A31" s="116">
        <f>'Центры прибыли'!B18</f>
        <v>46916113.359208256</v>
      </c>
      <c r="B31" s="18" t="s">
        <v>312</v>
      </c>
    </row>
    <row r="32" spans="1:25" s="18" customFormat="1" x14ac:dyDescent="0.2">
      <c r="A32" s="124">
        <f>'Центры прибыли'!O17</f>
        <v>0.70635521468244888</v>
      </c>
      <c r="B32" s="18" t="s">
        <v>318</v>
      </c>
    </row>
    <row r="33" spans="1:3" s="18" customFormat="1" x14ac:dyDescent="0.2">
      <c r="A33" s="116">
        <f>'Параметры финансирование'!B65*4+1</f>
        <v>1</v>
      </c>
      <c r="B33" s="18" t="s">
        <v>317</v>
      </c>
    </row>
    <row r="34" spans="1:3" s="18" customFormat="1" x14ac:dyDescent="0.2"/>
    <row r="35" spans="1:3" s="18" customFormat="1" x14ac:dyDescent="0.2"/>
    <row r="36" spans="1:3" s="18" customFormat="1" x14ac:dyDescent="0.2"/>
    <row r="37" spans="1:3" s="35" customFormat="1" ht="15" thickBot="1" x14ac:dyDescent="0.25"/>
    <row r="38" spans="1:3" ht="15.75" thickTop="1" thickBot="1" x14ac:dyDescent="0.25"/>
    <row r="39" spans="1:3" s="36" customFormat="1" ht="27.75" thickTop="1" thickBot="1" x14ac:dyDescent="0.45">
      <c r="A39" s="365" t="s">
        <v>32</v>
      </c>
      <c r="B39" s="365"/>
      <c r="C39" s="366"/>
    </row>
    <row r="40" spans="1:3" s="37" customFormat="1" ht="15" thickTop="1" x14ac:dyDescent="0.2"/>
    <row r="41" spans="1:3" s="37" customFormat="1" x14ac:dyDescent="0.2"/>
    <row r="42" spans="1:3" s="37" customFormat="1" x14ac:dyDescent="0.2"/>
    <row r="43" spans="1:3" s="37" customFormat="1" x14ac:dyDescent="0.2"/>
    <row r="44" spans="1:3" s="37" customFormat="1" x14ac:dyDescent="0.2"/>
    <row r="45" spans="1:3" s="37" customFormat="1" x14ac:dyDescent="0.2"/>
    <row r="46" spans="1:3" s="37" customFormat="1" x14ac:dyDescent="0.2"/>
    <row r="47" spans="1:3" s="37" customFormat="1" x14ac:dyDescent="0.2"/>
    <row r="48" spans="1:3" s="37" customFormat="1" x14ac:dyDescent="0.2"/>
    <row r="49" s="37" customFormat="1" x14ac:dyDescent="0.2"/>
    <row r="50" s="37" customFormat="1" x14ac:dyDescent="0.2"/>
    <row r="51" s="37" customFormat="1" x14ac:dyDescent="0.2"/>
    <row r="52" s="37" customFormat="1" x14ac:dyDescent="0.2"/>
    <row r="53" s="37" customFormat="1" x14ac:dyDescent="0.2"/>
    <row r="54" s="37" customFormat="1" x14ac:dyDescent="0.2"/>
    <row r="55" s="37" customFormat="1" x14ac:dyDescent="0.2"/>
    <row r="56" s="37" customFormat="1" x14ac:dyDescent="0.2"/>
    <row r="57" s="37" customFormat="1" x14ac:dyDescent="0.2"/>
    <row r="58" s="37" customFormat="1" x14ac:dyDescent="0.2"/>
    <row r="59" s="37" customFormat="1" x14ac:dyDescent="0.2"/>
    <row r="60" s="37" customFormat="1" x14ac:dyDescent="0.2"/>
    <row r="61" s="37" customFormat="1" x14ac:dyDescent="0.2"/>
    <row r="62" s="37" customFormat="1" x14ac:dyDescent="0.2"/>
    <row r="63" s="37" customFormat="1" x14ac:dyDescent="0.2"/>
    <row r="64" s="37" customFormat="1" x14ac:dyDescent="0.2"/>
    <row r="65" s="37" customFormat="1" x14ac:dyDescent="0.2"/>
    <row r="66" s="37" customFormat="1" x14ac:dyDescent="0.2"/>
    <row r="67" s="37" customFormat="1" x14ac:dyDescent="0.2"/>
    <row r="68" s="37" customFormat="1" x14ac:dyDescent="0.2"/>
    <row r="69" s="37" customFormat="1" x14ac:dyDescent="0.2"/>
    <row r="70" s="37" customFormat="1" x14ac:dyDescent="0.2"/>
    <row r="71" s="37" customFormat="1" x14ac:dyDescent="0.2"/>
    <row r="72" s="38" customFormat="1" ht="15" thickBot="1" x14ac:dyDescent="0.25"/>
    <row r="73" ht="15" thickTop="1" x14ac:dyDescent="0.2"/>
  </sheetData>
  <mergeCells count="15">
    <mergeCell ref="A2:C2"/>
    <mergeCell ref="E13:H13"/>
    <mergeCell ref="A39:C39"/>
    <mergeCell ref="F3:I3"/>
    <mergeCell ref="J3:M3"/>
    <mergeCell ref="B27:F27"/>
    <mergeCell ref="N3:Q3"/>
    <mergeCell ref="R3:U3"/>
    <mergeCell ref="A11:C11"/>
    <mergeCell ref="V3:Y3"/>
    <mergeCell ref="F9:I9"/>
    <mergeCell ref="J9:M9"/>
    <mergeCell ref="N9:Q9"/>
    <mergeCell ref="R9:U9"/>
    <mergeCell ref="V9:Y9"/>
  </mergeCells>
  <pageMargins left="0.7" right="0.7" top="0.75" bottom="0.75" header="0.3" footer="0.3"/>
  <ignoredErrors>
    <ignoredError sqref="Z8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CC"/>
  </sheetPr>
  <dimension ref="A1:Z121"/>
  <sheetViews>
    <sheetView topLeftCell="A77" zoomScaleNormal="100" workbookViewId="0">
      <selection activeCell="A6" sqref="A6:XFD6"/>
    </sheetView>
  </sheetViews>
  <sheetFormatPr defaultRowHeight="14.25" x14ac:dyDescent="0.2"/>
  <cols>
    <col min="1" max="1" width="40.7109375" style="1" bestFit="1" customWidth="1"/>
    <col min="2" max="2" width="30.42578125" style="1" bestFit="1" customWidth="1"/>
    <col min="3" max="3" width="32" style="1" bestFit="1" customWidth="1"/>
    <col min="4" max="4" width="14" style="1" bestFit="1" customWidth="1"/>
    <col min="5" max="5" width="11.5703125" style="1" bestFit="1" customWidth="1"/>
    <col min="6" max="6" width="13.5703125" style="1" customWidth="1"/>
    <col min="7" max="25" width="12.42578125" style="1" customWidth="1"/>
    <col min="26" max="26" width="14.85546875" style="1" customWidth="1"/>
    <col min="27" max="16384" width="9.140625" style="1"/>
  </cols>
  <sheetData>
    <row r="1" spans="1:26" ht="15" thickBot="1" x14ac:dyDescent="0.25"/>
    <row r="2" spans="1:26" s="2" customFormat="1" ht="27.75" thickTop="1" thickBot="1" x14ac:dyDescent="0.45">
      <c r="A2" s="362" t="s">
        <v>69</v>
      </c>
      <c r="B2" s="362"/>
      <c r="C2" s="363"/>
    </row>
    <row r="3" spans="1:26" s="3" customFormat="1" ht="15" thickTop="1" x14ac:dyDescent="0.2">
      <c r="F3" s="355" t="str">
        <f>'Параметры Доходы'!F3</f>
        <v>1 год</v>
      </c>
      <c r="G3" s="356"/>
      <c r="H3" s="356"/>
      <c r="I3" s="357"/>
      <c r="J3" s="355" t="str">
        <f>'Параметры Доходы'!J3</f>
        <v>2 год</v>
      </c>
      <c r="K3" s="356"/>
      <c r="L3" s="356"/>
      <c r="M3" s="357"/>
      <c r="N3" s="355" t="str">
        <f>'Параметры Доходы'!N3</f>
        <v>3 год</v>
      </c>
      <c r="O3" s="356"/>
      <c r="P3" s="356"/>
      <c r="Q3" s="357"/>
      <c r="R3" s="355" t="str">
        <f>'Параметры Доходы'!R3</f>
        <v>4 год</v>
      </c>
      <c r="S3" s="356"/>
      <c r="T3" s="356"/>
      <c r="U3" s="357"/>
      <c r="V3" s="355" t="str">
        <f>'Параметры Доходы'!V3</f>
        <v>5 год</v>
      </c>
      <c r="W3" s="356"/>
      <c r="X3" s="356"/>
      <c r="Y3" s="357"/>
    </row>
    <row r="4" spans="1:26" s="3" customFormat="1" ht="29.25" x14ac:dyDescent="0.25">
      <c r="B4" s="39" t="s">
        <v>70</v>
      </c>
      <c r="C4" s="39" t="s">
        <v>71</v>
      </c>
      <c r="F4" s="7" t="str">
        <f>'Параметры Доходы'!F4</f>
        <v>1 кв.</v>
      </c>
      <c r="G4" s="3" t="str">
        <f>'Параметры Доходы'!G4</f>
        <v>2 кв.</v>
      </c>
      <c r="H4" s="3" t="str">
        <f>'Параметры Доходы'!H4</f>
        <v>3 кв.</v>
      </c>
      <c r="I4" s="8" t="str">
        <f>'Параметры Доходы'!I4</f>
        <v>4 кв.</v>
      </c>
      <c r="J4" s="7" t="str">
        <f>'Параметры Доходы'!J4</f>
        <v>5 кв.</v>
      </c>
      <c r="K4" s="3" t="str">
        <f>'Параметры Доходы'!K4</f>
        <v>6 кв.</v>
      </c>
      <c r="L4" s="3" t="str">
        <f>'Параметры Доходы'!L4</f>
        <v>7 кв.</v>
      </c>
      <c r="M4" s="8" t="str">
        <f>'Параметры Доходы'!M4</f>
        <v>8 кв.</v>
      </c>
      <c r="N4" s="7" t="str">
        <f>'Параметры Доходы'!N4</f>
        <v>9 кв.</v>
      </c>
      <c r="O4" s="3" t="str">
        <f>'Параметры Доходы'!O4</f>
        <v>10 кв.</v>
      </c>
      <c r="P4" s="3" t="str">
        <f>'Параметры Доходы'!P4</f>
        <v>11 кв.</v>
      </c>
      <c r="Q4" s="8" t="str">
        <f>'Параметры Доходы'!Q4</f>
        <v>12 кв.</v>
      </c>
      <c r="R4" s="7" t="str">
        <f>'Параметры Доходы'!R4</f>
        <v>13 кв.</v>
      </c>
      <c r="S4" s="3" t="str">
        <f>'Параметры Доходы'!S4</f>
        <v>14 кв.</v>
      </c>
      <c r="T4" s="3" t="str">
        <f>'Параметры Доходы'!T4</f>
        <v>15 кв.</v>
      </c>
      <c r="U4" s="8" t="str">
        <f>'Параметры Доходы'!U4</f>
        <v>16 кв.</v>
      </c>
      <c r="V4" s="7" t="str">
        <f>'Параметры Доходы'!V4</f>
        <v>17 кв.</v>
      </c>
      <c r="W4" s="3" t="str">
        <f>'Параметры Доходы'!W4</f>
        <v>18 кв.</v>
      </c>
      <c r="X4" s="3" t="str">
        <f>'Параметры Доходы'!X4</f>
        <v>19 кв.</v>
      </c>
      <c r="Y4" s="8" t="str">
        <f>'Параметры Доходы'!Y4</f>
        <v>20 кв.</v>
      </c>
      <c r="Z4" s="9" t="str">
        <f>'Параметры Доходы'!Z4</f>
        <v>Итого</v>
      </c>
    </row>
    <row r="5" spans="1:26" s="3" customFormat="1" ht="15" x14ac:dyDescent="0.25">
      <c r="A5" s="9" t="s">
        <v>43</v>
      </c>
      <c r="C5" s="59">
        <f>C9</f>
        <v>130156632</v>
      </c>
      <c r="E5" s="10"/>
      <c r="F5" s="58">
        <f>F9</f>
        <v>0</v>
      </c>
      <c r="G5" s="59">
        <f t="shared" ref="G5:Y5" si="0">G9</f>
        <v>19523494.800000001</v>
      </c>
      <c r="H5" s="59">
        <f t="shared" si="0"/>
        <v>22777410.600000001</v>
      </c>
      <c r="I5" s="60">
        <f t="shared" si="0"/>
        <v>26031326.399999999</v>
      </c>
      <c r="J5" s="58">
        <f t="shared" si="0"/>
        <v>29285242.199999999</v>
      </c>
      <c r="K5" s="59">
        <f t="shared" si="0"/>
        <v>32539158</v>
      </c>
      <c r="L5" s="59">
        <f t="shared" si="0"/>
        <v>32539158</v>
      </c>
      <c r="M5" s="60">
        <f t="shared" si="0"/>
        <v>32539158</v>
      </c>
      <c r="N5" s="58">
        <f t="shared" si="0"/>
        <v>32539158</v>
      </c>
      <c r="O5" s="59">
        <f t="shared" si="0"/>
        <v>32539158</v>
      </c>
      <c r="P5" s="59">
        <f t="shared" si="0"/>
        <v>32539158</v>
      </c>
      <c r="Q5" s="60">
        <f t="shared" si="0"/>
        <v>32539158</v>
      </c>
      <c r="R5" s="58">
        <f t="shared" si="0"/>
        <v>32539158</v>
      </c>
      <c r="S5" s="59">
        <f t="shared" si="0"/>
        <v>32539158</v>
      </c>
      <c r="T5" s="59">
        <f t="shared" si="0"/>
        <v>32539158</v>
      </c>
      <c r="U5" s="60">
        <f t="shared" si="0"/>
        <v>32539158</v>
      </c>
      <c r="V5" s="58">
        <f t="shared" si="0"/>
        <v>32539158</v>
      </c>
      <c r="W5" s="59">
        <f t="shared" si="0"/>
        <v>32539158</v>
      </c>
      <c r="X5" s="59">
        <f t="shared" si="0"/>
        <v>32539158</v>
      </c>
      <c r="Y5" s="60">
        <f t="shared" si="0"/>
        <v>32539158</v>
      </c>
      <c r="Z5" s="10"/>
    </row>
    <row r="6" spans="1:26" s="3" customFormat="1" ht="15" x14ac:dyDescent="0.25">
      <c r="A6" s="40" t="str">
        <f>A38</f>
        <v>Печь "ХЛЕБОПЕЧКА"</v>
      </c>
      <c r="B6" s="10">
        <f>C38*'Параметры Доходы'!E5</f>
        <v>32539158</v>
      </c>
      <c r="C6" s="10">
        <f>B6*4</f>
        <v>130156632</v>
      </c>
      <c r="E6" s="10"/>
      <c r="F6" s="11">
        <f>'Параметры Доходы'!F5*'Параметры Расходы'!$C38</f>
        <v>0</v>
      </c>
      <c r="G6" s="10">
        <f>'Параметры Доходы'!G5*'Параметры Расходы'!$C38</f>
        <v>19523494.800000001</v>
      </c>
      <c r="H6" s="10">
        <f>'Параметры Доходы'!H5*'Параметры Расходы'!$C38</f>
        <v>22777410.600000001</v>
      </c>
      <c r="I6" s="12">
        <f>'Параметры Доходы'!I5*'Параметры Расходы'!$C38</f>
        <v>26031326.399999999</v>
      </c>
      <c r="J6" s="11">
        <f>'Параметры Доходы'!J5*'Параметры Расходы'!$C38</f>
        <v>29285242.199999999</v>
      </c>
      <c r="K6" s="10">
        <f>'Параметры Доходы'!K5*'Параметры Расходы'!$C38</f>
        <v>32539158</v>
      </c>
      <c r="L6" s="10">
        <f>'Параметры Доходы'!L5*'Параметры Расходы'!$C38</f>
        <v>32539158</v>
      </c>
      <c r="M6" s="12">
        <f>'Параметры Доходы'!M5*'Параметры Расходы'!$C38</f>
        <v>32539158</v>
      </c>
      <c r="N6" s="11">
        <f>'Параметры Доходы'!N5*'Параметры Расходы'!$C38</f>
        <v>32539158</v>
      </c>
      <c r="O6" s="10">
        <f>'Параметры Доходы'!O5*'Параметры Расходы'!$C38</f>
        <v>32539158</v>
      </c>
      <c r="P6" s="10">
        <f>'Параметры Доходы'!P5*'Параметры Расходы'!$C38</f>
        <v>32539158</v>
      </c>
      <c r="Q6" s="12">
        <f>'Параметры Доходы'!Q5*'Параметры Расходы'!$C38</f>
        <v>32539158</v>
      </c>
      <c r="R6" s="11">
        <f>'Параметры Доходы'!R5*'Параметры Расходы'!$C38</f>
        <v>32539158</v>
      </c>
      <c r="S6" s="10">
        <f>'Параметры Доходы'!S5*'Параметры Расходы'!$C38</f>
        <v>32539158</v>
      </c>
      <c r="T6" s="10">
        <f>'Параметры Доходы'!T5*'Параметры Расходы'!$C38</f>
        <v>32539158</v>
      </c>
      <c r="U6" s="12">
        <f>'Параметры Доходы'!U5*'Параметры Расходы'!$C38</f>
        <v>32539158</v>
      </c>
      <c r="V6" s="11">
        <f>'Параметры Доходы'!V5*'Параметры Расходы'!$C38</f>
        <v>32539158</v>
      </c>
      <c r="W6" s="10">
        <f>'Параметры Доходы'!W5*'Параметры Расходы'!$C38</f>
        <v>32539158</v>
      </c>
      <c r="X6" s="10">
        <f>'Параметры Доходы'!X5*'Параметры Расходы'!$C38</f>
        <v>32539158</v>
      </c>
      <c r="Y6" s="12">
        <f>'Параметры Доходы'!Y5*'Параметры Расходы'!$C38</f>
        <v>32539158</v>
      </c>
      <c r="Z6" s="13">
        <f>SUM(F6:Y6)</f>
        <v>585704844</v>
      </c>
    </row>
    <row r="7" spans="1:26" s="3" customFormat="1" ht="15" hidden="1" x14ac:dyDescent="0.25">
      <c r="A7" s="40">
        <f t="shared" ref="A7:A8" si="1">A39</f>
        <v>0</v>
      </c>
      <c r="B7" s="10">
        <f>C39*'Параметры Доходы'!E6</f>
        <v>0</v>
      </c>
      <c r="C7" s="10">
        <f t="shared" ref="C7:C9" si="2">B7*4</f>
        <v>0</v>
      </c>
      <c r="E7" s="10"/>
      <c r="F7" s="11">
        <f>'Параметры Доходы'!F6*'Параметры Расходы'!$C39</f>
        <v>0</v>
      </c>
      <c r="G7" s="10">
        <f>'Параметры Доходы'!G6*'Параметры Расходы'!$C39</f>
        <v>0</v>
      </c>
      <c r="H7" s="10">
        <f>'Параметры Доходы'!H6*'Параметры Расходы'!$C39</f>
        <v>0</v>
      </c>
      <c r="I7" s="12">
        <f>'Параметры Доходы'!I6*'Параметры Расходы'!$C39</f>
        <v>0</v>
      </c>
      <c r="J7" s="11">
        <f>'Параметры Доходы'!J6*'Параметры Расходы'!$C39</f>
        <v>0</v>
      </c>
      <c r="K7" s="10">
        <f>'Параметры Доходы'!K6*'Параметры Расходы'!$C39</f>
        <v>0</v>
      </c>
      <c r="L7" s="10">
        <f>'Параметры Доходы'!L6*'Параметры Расходы'!$C39</f>
        <v>0</v>
      </c>
      <c r="M7" s="12">
        <f>'Параметры Доходы'!M6*'Параметры Расходы'!$C39</f>
        <v>0</v>
      </c>
      <c r="N7" s="11">
        <f>'Параметры Доходы'!N6*'Параметры Расходы'!$C39</f>
        <v>0</v>
      </c>
      <c r="O7" s="10">
        <f>'Параметры Доходы'!O6*'Параметры Расходы'!$C39</f>
        <v>0</v>
      </c>
      <c r="P7" s="10">
        <f>'Параметры Доходы'!P6*'Параметры Расходы'!$C39</f>
        <v>0</v>
      </c>
      <c r="Q7" s="12">
        <f>'Параметры Доходы'!Q6*'Параметры Расходы'!$C39</f>
        <v>0</v>
      </c>
      <c r="R7" s="11">
        <f>'Параметры Доходы'!R6*'Параметры Расходы'!$C39</f>
        <v>0</v>
      </c>
      <c r="S7" s="10">
        <f>'Параметры Доходы'!S6*'Параметры Расходы'!$C39</f>
        <v>0</v>
      </c>
      <c r="T7" s="10">
        <f>'Параметры Доходы'!T6*'Параметры Расходы'!$C39</f>
        <v>0</v>
      </c>
      <c r="U7" s="12">
        <f>'Параметры Доходы'!U6*'Параметры Расходы'!$C39</f>
        <v>0</v>
      </c>
      <c r="V7" s="11">
        <f>'Параметры Доходы'!V6*'Параметры Расходы'!$C39</f>
        <v>0</v>
      </c>
      <c r="W7" s="10">
        <f>'Параметры Доходы'!W6*'Параметры Расходы'!$C39</f>
        <v>0</v>
      </c>
      <c r="X7" s="10">
        <f>'Параметры Доходы'!X6*'Параметры Расходы'!$C39</f>
        <v>0</v>
      </c>
      <c r="Y7" s="12">
        <f>'Параметры Доходы'!Y6*'Параметры Расходы'!$C39</f>
        <v>0</v>
      </c>
      <c r="Z7" s="13">
        <f t="shared" ref="Z7:Z8" si="3">SUM(F7:Y7)</f>
        <v>0</v>
      </c>
    </row>
    <row r="8" spans="1:26" s="3" customFormat="1" ht="15" hidden="1" x14ac:dyDescent="0.25">
      <c r="A8" s="40">
        <f t="shared" si="1"/>
        <v>0</v>
      </c>
      <c r="B8" s="10">
        <f>C40*'Параметры Доходы'!E7</f>
        <v>0</v>
      </c>
      <c r="C8" s="10">
        <f t="shared" si="2"/>
        <v>0</v>
      </c>
      <c r="E8" s="10"/>
      <c r="F8" s="11">
        <f>'Параметры Доходы'!F7*'Параметры Расходы'!$C40</f>
        <v>0</v>
      </c>
      <c r="G8" s="10">
        <f>'Параметры Доходы'!G7*'Параметры Расходы'!$C40</f>
        <v>0</v>
      </c>
      <c r="H8" s="10">
        <f>'Параметры Доходы'!H7*'Параметры Расходы'!$C40</f>
        <v>0</v>
      </c>
      <c r="I8" s="12">
        <f>'Параметры Доходы'!I7*'Параметры Расходы'!$C40</f>
        <v>0</v>
      </c>
      <c r="J8" s="11">
        <f>'Параметры Доходы'!J7*'Параметры Расходы'!$C40</f>
        <v>0</v>
      </c>
      <c r="K8" s="10">
        <f>'Параметры Доходы'!K7*'Параметры Расходы'!$C40</f>
        <v>0</v>
      </c>
      <c r="L8" s="10">
        <f>'Параметры Доходы'!L7*'Параметры Расходы'!$C40</f>
        <v>0</v>
      </c>
      <c r="M8" s="12">
        <f>'Параметры Доходы'!M7*'Параметры Расходы'!$C40</f>
        <v>0</v>
      </c>
      <c r="N8" s="11">
        <f>'Параметры Доходы'!N7*'Параметры Расходы'!$C40</f>
        <v>0</v>
      </c>
      <c r="O8" s="10">
        <f>'Параметры Доходы'!O7*'Параметры Расходы'!$C40</f>
        <v>0</v>
      </c>
      <c r="P8" s="10">
        <f>'Параметры Доходы'!P7*'Параметры Расходы'!$C40</f>
        <v>0</v>
      </c>
      <c r="Q8" s="12">
        <f>'Параметры Доходы'!Q7*'Параметры Расходы'!$C40</f>
        <v>0</v>
      </c>
      <c r="R8" s="11">
        <f>'Параметры Доходы'!R7*'Параметры Расходы'!$C40</f>
        <v>0</v>
      </c>
      <c r="S8" s="10">
        <f>'Параметры Доходы'!S7*'Параметры Расходы'!$C40</f>
        <v>0</v>
      </c>
      <c r="T8" s="10">
        <f>'Параметры Доходы'!T7*'Параметры Расходы'!$C40</f>
        <v>0</v>
      </c>
      <c r="U8" s="12">
        <f>'Параметры Доходы'!U7*'Параметры Расходы'!$C40</f>
        <v>0</v>
      </c>
      <c r="V8" s="11">
        <f>'Параметры Доходы'!V7*'Параметры Расходы'!$C40</f>
        <v>0</v>
      </c>
      <c r="W8" s="10">
        <f>'Параметры Доходы'!W7*'Параметры Расходы'!$C40</f>
        <v>0</v>
      </c>
      <c r="X8" s="10">
        <f>'Параметры Доходы'!X7*'Параметры Расходы'!$C40</f>
        <v>0</v>
      </c>
      <c r="Y8" s="12">
        <f>'Параметры Доходы'!Y7*'Параметры Расходы'!$C40</f>
        <v>0</v>
      </c>
      <c r="Z8" s="13">
        <f t="shared" si="3"/>
        <v>0</v>
      </c>
    </row>
    <row r="9" spans="1:26" s="9" customFormat="1" ht="15" x14ac:dyDescent="0.25">
      <c r="A9" s="9" t="s">
        <v>7</v>
      </c>
      <c r="B9" s="13">
        <f>SUM(B6:B8)</f>
        <v>32539158</v>
      </c>
      <c r="C9" s="13">
        <f t="shared" si="2"/>
        <v>130156632</v>
      </c>
      <c r="E9" s="13"/>
      <c r="F9" s="14">
        <f>SUM(F6:F8)</f>
        <v>0</v>
      </c>
      <c r="G9" s="13">
        <f t="shared" ref="G9:Y9" si="4">SUM(G6:G8)</f>
        <v>19523494.800000001</v>
      </c>
      <c r="H9" s="13">
        <f t="shared" si="4"/>
        <v>22777410.600000001</v>
      </c>
      <c r="I9" s="15">
        <f t="shared" si="4"/>
        <v>26031326.399999999</v>
      </c>
      <c r="J9" s="14">
        <f t="shared" si="4"/>
        <v>29285242.199999999</v>
      </c>
      <c r="K9" s="13">
        <f t="shared" si="4"/>
        <v>32539158</v>
      </c>
      <c r="L9" s="13">
        <f t="shared" si="4"/>
        <v>32539158</v>
      </c>
      <c r="M9" s="15">
        <f t="shared" si="4"/>
        <v>32539158</v>
      </c>
      <c r="N9" s="14">
        <f t="shared" si="4"/>
        <v>32539158</v>
      </c>
      <c r="O9" s="13">
        <f t="shared" si="4"/>
        <v>32539158</v>
      </c>
      <c r="P9" s="13">
        <f t="shared" si="4"/>
        <v>32539158</v>
      </c>
      <c r="Q9" s="15">
        <f t="shared" si="4"/>
        <v>32539158</v>
      </c>
      <c r="R9" s="14">
        <f t="shared" si="4"/>
        <v>32539158</v>
      </c>
      <c r="S9" s="13">
        <f t="shared" si="4"/>
        <v>32539158</v>
      </c>
      <c r="T9" s="13">
        <f t="shared" si="4"/>
        <v>32539158</v>
      </c>
      <c r="U9" s="15">
        <f t="shared" si="4"/>
        <v>32539158</v>
      </c>
      <c r="V9" s="14">
        <f t="shared" si="4"/>
        <v>32539158</v>
      </c>
      <c r="W9" s="13">
        <f t="shared" si="4"/>
        <v>32539158</v>
      </c>
      <c r="X9" s="13">
        <f t="shared" si="4"/>
        <v>32539158</v>
      </c>
      <c r="Y9" s="15">
        <f t="shared" si="4"/>
        <v>32539158</v>
      </c>
      <c r="Z9" s="13">
        <f>SUM(Z6:Z8)</f>
        <v>585704844</v>
      </c>
    </row>
    <row r="10" spans="1:26" s="3" customFormat="1" ht="15" x14ac:dyDescent="0.25">
      <c r="E10" s="10"/>
      <c r="F10" s="368">
        <f>SUM(F9:I9)</f>
        <v>68332231.800000012</v>
      </c>
      <c r="G10" s="371"/>
      <c r="H10" s="371"/>
      <c r="I10" s="372"/>
      <c r="J10" s="368">
        <f>SUM(J9:M9)</f>
        <v>126902716.2</v>
      </c>
      <c r="K10" s="371"/>
      <c r="L10" s="371"/>
      <c r="M10" s="372"/>
      <c r="N10" s="368">
        <f>SUM(N9:Q9)</f>
        <v>130156632</v>
      </c>
      <c r="O10" s="371"/>
      <c r="P10" s="371"/>
      <c r="Q10" s="372"/>
      <c r="R10" s="368">
        <f>SUM(R9:U9)</f>
        <v>130156632</v>
      </c>
      <c r="S10" s="371"/>
      <c r="T10" s="371"/>
      <c r="U10" s="372"/>
      <c r="V10" s="368">
        <f t="shared" ref="V10" si="5">SUM(V9:Y9)</f>
        <v>130156632</v>
      </c>
      <c r="W10" s="371"/>
      <c r="X10" s="371"/>
      <c r="Y10" s="372"/>
      <c r="Z10" s="13">
        <f>SUM(F10:Y10)</f>
        <v>585704844</v>
      </c>
    </row>
    <row r="11" spans="1:26" s="3" customFormat="1" x14ac:dyDescent="0.2">
      <c r="E11" s="10"/>
      <c r="F11" s="11"/>
      <c r="G11" s="10"/>
      <c r="H11" s="10"/>
      <c r="I11" s="12"/>
      <c r="J11" s="11"/>
      <c r="K11" s="10"/>
      <c r="L11" s="10"/>
      <c r="M11" s="12"/>
      <c r="N11" s="11"/>
      <c r="O11" s="10"/>
      <c r="P11" s="10"/>
      <c r="Q11" s="12"/>
      <c r="R11" s="11"/>
      <c r="S11" s="10"/>
      <c r="T11" s="10"/>
      <c r="U11" s="12"/>
      <c r="V11" s="11"/>
      <c r="W11" s="10"/>
      <c r="X11" s="10"/>
      <c r="Y11" s="12"/>
      <c r="Z11" s="10"/>
    </row>
    <row r="12" spans="1:26" s="3" customFormat="1" x14ac:dyDescent="0.2">
      <c r="E12" s="10"/>
      <c r="F12" s="11" t="str">
        <f>F4</f>
        <v>1 кв.</v>
      </c>
      <c r="G12" s="10" t="str">
        <f t="shared" ref="G12:Y12" si="6">G4</f>
        <v>2 кв.</v>
      </c>
      <c r="H12" s="10" t="str">
        <f t="shared" si="6"/>
        <v>3 кв.</v>
      </c>
      <c r="I12" s="12" t="str">
        <f t="shared" si="6"/>
        <v>4 кв.</v>
      </c>
      <c r="J12" s="11" t="str">
        <f t="shared" si="6"/>
        <v>5 кв.</v>
      </c>
      <c r="K12" s="10" t="str">
        <f t="shared" si="6"/>
        <v>6 кв.</v>
      </c>
      <c r="L12" s="10" t="str">
        <f t="shared" si="6"/>
        <v>7 кв.</v>
      </c>
      <c r="M12" s="12" t="str">
        <f t="shared" si="6"/>
        <v>8 кв.</v>
      </c>
      <c r="N12" s="11" t="str">
        <f t="shared" si="6"/>
        <v>9 кв.</v>
      </c>
      <c r="O12" s="10" t="str">
        <f t="shared" si="6"/>
        <v>10 кв.</v>
      </c>
      <c r="P12" s="10" t="str">
        <f t="shared" si="6"/>
        <v>11 кв.</v>
      </c>
      <c r="Q12" s="12" t="str">
        <f t="shared" si="6"/>
        <v>12 кв.</v>
      </c>
      <c r="R12" s="11" t="str">
        <f t="shared" si="6"/>
        <v>13 кв.</v>
      </c>
      <c r="S12" s="10" t="str">
        <f t="shared" si="6"/>
        <v>14 кв.</v>
      </c>
      <c r="T12" s="10" t="str">
        <f t="shared" si="6"/>
        <v>15 кв.</v>
      </c>
      <c r="U12" s="12" t="str">
        <f t="shared" si="6"/>
        <v>16 кв.</v>
      </c>
      <c r="V12" s="11" t="str">
        <f t="shared" si="6"/>
        <v>17 кв.</v>
      </c>
      <c r="W12" s="10" t="str">
        <f t="shared" si="6"/>
        <v>18 кв.</v>
      </c>
      <c r="X12" s="10" t="str">
        <f t="shared" si="6"/>
        <v>19 кв.</v>
      </c>
      <c r="Y12" s="12" t="str">
        <f t="shared" si="6"/>
        <v>20 кв.</v>
      </c>
      <c r="Z12" s="10"/>
    </row>
    <row r="13" spans="1:26" s="3" customFormat="1" ht="15" x14ac:dyDescent="0.25">
      <c r="A13" s="9" t="s">
        <v>65</v>
      </c>
      <c r="C13" s="59">
        <f>C26</f>
        <v>84012109.914599985</v>
      </c>
      <c r="E13" s="10"/>
      <c r="F13" s="58">
        <f>F26</f>
        <v>5980028.6571156234</v>
      </c>
      <c r="G13" s="59">
        <f t="shared" ref="G13:Y13" si="7">G26</f>
        <v>19406532.984343752</v>
      </c>
      <c r="H13" s="59">
        <f t="shared" si="7"/>
        <v>21003027.478649996</v>
      </c>
      <c r="I13" s="60">
        <f t="shared" si="7"/>
        <v>21003027.478649996</v>
      </c>
      <c r="J13" s="58">
        <f t="shared" si="7"/>
        <v>21003027.478649996</v>
      </c>
      <c r="K13" s="59">
        <f t="shared" si="7"/>
        <v>21003027.478649996</v>
      </c>
      <c r="L13" s="59">
        <f t="shared" si="7"/>
        <v>21003027.478649996</v>
      </c>
      <c r="M13" s="60">
        <f t="shared" si="7"/>
        <v>21003027.478649996</v>
      </c>
      <c r="N13" s="58">
        <f t="shared" si="7"/>
        <v>21003027.478649996</v>
      </c>
      <c r="O13" s="59">
        <f t="shared" si="7"/>
        <v>21003027.478649996</v>
      </c>
      <c r="P13" s="59">
        <f t="shared" si="7"/>
        <v>21003027.478649996</v>
      </c>
      <c r="Q13" s="60">
        <f t="shared" si="7"/>
        <v>21003027.478649996</v>
      </c>
      <c r="R13" s="58">
        <f t="shared" si="7"/>
        <v>21003027.478649996</v>
      </c>
      <c r="S13" s="59">
        <f t="shared" si="7"/>
        <v>21003027.478649996</v>
      </c>
      <c r="T13" s="59">
        <f t="shared" si="7"/>
        <v>21003027.478649996</v>
      </c>
      <c r="U13" s="60">
        <f t="shared" si="7"/>
        <v>21003027.478649996</v>
      </c>
      <c r="V13" s="58">
        <f t="shared" si="7"/>
        <v>21003027.478649996</v>
      </c>
      <c r="W13" s="59">
        <f t="shared" si="7"/>
        <v>21003027.478649996</v>
      </c>
      <c r="X13" s="59">
        <f t="shared" si="7"/>
        <v>21003027.478649996</v>
      </c>
      <c r="Y13" s="60">
        <f t="shared" si="7"/>
        <v>21003027.478649996</v>
      </c>
      <c r="Z13" s="10"/>
    </row>
    <row r="14" spans="1:26" s="3" customFormat="1" ht="15" x14ac:dyDescent="0.25">
      <c r="A14" s="40" t="str">
        <f>A45</f>
        <v>Заработная плата</v>
      </c>
      <c r="B14" s="10">
        <f>D45</f>
        <v>18620072.759999998</v>
      </c>
      <c r="C14" s="10">
        <f>B14*4</f>
        <v>74480291.039999992</v>
      </c>
      <c r="E14" s="10"/>
      <c r="F14" s="10">
        <f>B14*AVERAGE('Параметры инвестиции'!$D$116:$F$116)</f>
        <v>5301548.4941666657</v>
      </c>
      <c r="G14" s="10">
        <f>$D45*AVERAGE('Параметры инвестиции'!$G$116:$I$116)</f>
        <v>17197706.090833332</v>
      </c>
      <c r="H14" s="10">
        <f>$D45</f>
        <v>18620072.759999998</v>
      </c>
      <c r="I14" s="12">
        <f t="shared" ref="I14:Y16" si="8">$D45</f>
        <v>18620072.759999998</v>
      </c>
      <c r="J14" s="11">
        <f t="shared" si="8"/>
        <v>18620072.759999998</v>
      </c>
      <c r="K14" s="10">
        <f t="shared" si="8"/>
        <v>18620072.759999998</v>
      </c>
      <c r="L14" s="10">
        <f t="shared" si="8"/>
        <v>18620072.759999998</v>
      </c>
      <c r="M14" s="12">
        <f t="shared" si="8"/>
        <v>18620072.759999998</v>
      </c>
      <c r="N14" s="11">
        <f t="shared" si="8"/>
        <v>18620072.759999998</v>
      </c>
      <c r="O14" s="10">
        <f t="shared" si="8"/>
        <v>18620072.759999998</v>
      </c>
      <c r="P14" s="10">
        <f t="shared" si="8"/>
        <v>18620072.759999998</v>
      </c>
      <c r="Q14" s="12">
        <f t="shared" si="8"/>
        <v>18620072.759999998</v>
      </c>
      <c r="R14" s="11">
        <f t="shared" si="8"/>
        <v>18620072.759999998</v>
      </c>
      <c r="S14" s="10">
        <f t="shared" si="8"/>
        <v>18620072.759999998</v>
      </c>
      <c r="T14" s="10">
        <f t="shared" si="8"/>
        <v>18620072.759999998</v>
      </c>
      <c r="U14" s="12">
        <f t="shared" si="8"/>
        <v>18620072.759999998</v>
      </c>
      <c r="V14" s="11">
        <f t="shared" si="8"/>
        <v>18620072.759999998</v>
      </c>
      <c r="W14" s="10">
        <f t="shared" si="8"/>
        <v>18620072.759999998</v>
      </c>
      <c r="X14" s="10">
        <f t="shared" si="8"/>
        <v>18620072.759999998</v>
      </c>
      <c r="Y14" s="12">
        <f t="shared" si="8"/>
        <v>18620072.759999998</v>
      </c>
      <c r="Z14" s="13">
        <f>SUM(F14:Y14)</f>
        <v>357660564.26499987</v>
      </c>
    </row>
    <row r="15" spans="1:26" s="3" customFormat="1" ht="15" x14ac:dyDescent="0.25">
      <c r="A15" s="40" t="str">
        <f t="shared" ref="A15:A16" si="9">A46</f>
        <v>Аренда</v>
      </c>
      <c r="B15" s="10">
        <f t="shared" ref="B15:B16" si="10">D46</f>
        <v>1820157</v>
      </c>
      <c r="C15" s="10">
        <f t="shared" ref="C15:C26" si="11">B15*4</f>
        <v>7280628</v>
      </c>
      <c r="E15" s="10"/>
      <c r="F15" s="10">
        <f>B15*AVERAGE('Параметры инвестиции'!$D$116:$F$116)</f>
        <v>518239.14583333331</v>
      </c>
      <c r="G15" s="10">
        <f>$D46*AVERAGE('Параметры инвестиции'!$G$116:$I$116)</f>
        <v>1681117.2291666667</v>
      </c>
      <c r="H15" s="10">
        <f t="shared" ref="H15:W16" si="12">$D46</f>
        <v>1820157</v>
      </c>
      <c r="I15" s="12">
        <f t="shared" si="12"/>
        <v>1820157</v>
      </c>
      <c r="J15" s="11">
        <f t="shared" si="12"/>
        <v>1820157</v>
      </c>
      <c r="K15" s="10">
        <f t="shared" si="12"/>
        <v>1820157</v>
      </c>
      <c r="L15" s="10">
        <f t="shared" si="12"/>
        <v>1820157</v>
      </c>
      <c r="M15" s="12">
        <f t="shared" si="12"/>
        <v>1820157</v>
      </c>
      <c r="N15" s="11">
        <f t="shared" si="12"/>
        <v>1820157</v>
      </c>
      <c r="O15" s="10">
        <f t="shared" si="12"/>
        <v>1820157</v>
      </c>
      <c r="P15" s="10">
        <f t="shared" si="12"/>
        <v>1820157</v>
      </c>
      <c r="Q15" s="12">
        <f t="shared" si="12"/>
        <v>1820157</v>
      </c>
      <c r="R15" s="11">
        <f t="shared" si="12"/>
        <v>1820157</v>
      </c>
      <c r="S15" s="10">
        <f t="shared" si="12"/>
        <v>1820157</v>
      </c>
      <c r="T15" s="10">
        <f t="shared" si="12"/>
        <v>1820157</v>
      </c>
      <c r="U15" s="12">
        <f t="shared" si="12"/>
        <v>1820157</v>
      </c>
      <c r="V15" s="11">
        <f t="shared" si="12"/>
        <v>1820157</v>
      </c>
      <c r="W15" s="10">
        <f t="shared" si="12"/>
        <v>1820157</v>
      </c>
      <c r="X15" s="10">
        <f t="shared" si="8"/>
        <v>1820157</v>
      </c>
      <c r="Y15" s="12">
        <f t="shared" si="8"/>
        <v>1820157</v>
      </c>
      <c r="Z15" s="13">
        <f t="shared" ref="Z15:Z25" si="13">SUM(F15:Y15)</f>
        <v>34962182.375</v>
      </c>
    </row>
    <row r="16" spans="1:26" s="3" customFormat="1" ht="15" x14ac:dyDescent="0.25">
      <c r="A16" s="40" t="str">
        <f t="shared" si="9"/>
        <v>Энергия</v>
      </c>
      <c r="B16" s="10">
        <f t="shared" si="10"/>
        <v>112582.38</v>
      </c>
      <c r="C16" s="10">
        <f t="shared" si="11"/>
        <v>450329.52</v>
      </c>
      <c r="E16" s="10"/>
      <c r="F16" s="10">
        <f>B16*AVERAGE('Параметры инвестиции'!$D$116:$F$116)</f>
        <v>32054.705416666668</v>
      </c>
      <c r="G16" s="10">
        <f>$D47*AVERAGE('Параметры инвестиции'!$G$116:$I$116)</f>
        <v>103982.33708333335</v>
      </c>
      <c r="H16" s="10">
        <f t="shared" si="12"/>
        <v>112582.38</v>
      </c>
      <c r="I16" s="12">
        <f t="shared" si="8"/>
        <v>112582.38</v>
      </c>
      <c r="J16" s="11">
        <f t="shared" si="8"/>
        <v>112582.38</v>
      </c>
      <c r="K16" s="10">
        <f t="shared" si="8"/>
        <v>112582.38</v>
      </c>
      <c r="L16" s="10">
        <f t="shared" si="8"/>
        <v>112582.38</v>
      </c>
      <c r="M16" s="12">
        <f t="shared" si="8"/>
        <v>112582.38</v>
      </c>
      <c r="N16" s="11">
        <f t="shared" si="8"/>
        <v>112582.38</v>
      </c>
      <c r="O16" s="10">
        <f t="shared" si="8"/>
        <v>112582.38</v>
      </c>
      <c r="P16" s="10">
        <f t="shared" si="8"/>
        <v>112582.38</v>
      </c>
      <c r="Q16" s="12">
        <f t="shared" si="8"/>
        <v>112582.38</v>
      </c>
      <c r="R16" s="11">
        <f t="shared" si="8"/>
        <v>112582.38</v>
      </c>
      <c r="S16" s="10">
        <f t="shared" si="8"/>
        <v>112582.38</v>
      </c>
      <c r="T16" s="10">
        <f t="shared" si="8"/>
        <v>112582.38</v>
      </c>
      <c r="U16" s="12">
        <f t="shared" si="8"/>
        <v>112582.38</v>
      </c>
      <c r="V16" s="11">
        <f t="shared" si="8"/>
        <v>112582.38</v>
      </c>
      <c r="W16" s="10">
        <f t="shared" si="8"/>
        <v>112582.38</v>
      </c>
      <c r="X16" s="10">
        <f t="shared" si="8"/>
        <v>112582.38</v>
      </c>
      <c r="Y16" s="12">
        <f t="shared" si="8"/>
        <v>112582.38</v>
      </c>
      <c r="Z16" s="13">
        <f t="shared" si="13"/>
        <v>2162519.8824999989</v>
      </c>
    </row>
    <row r="17" spans="1:26" s="3" customFormat="1" ht="15" x14ac:dyDescent="0.25">
      <c r="A17" s="40" t="str">
        <f t="shared" ref="A17:A25" si="14">A48</f>
        <v>Вода</v>
      </c>
      <c r="B17" s="10">
        <f t="shared" ref="B17:B25" si="15">D48</f>
        <v>1356.03</v>
      </c>
      <c r="C17" s="10">
        <f t="shared" si="11"/>
        <v>5424.12</v>
      </c>
      <c r="E17" s="10"/>
      <c r="F17" s="10">
        <f>B17*AVERAGE('Параметры инвестиции'!$D$116:$F$116)</f>
        <v>386.09187499999996</v>
      </c>
      <c r="G17" s="10">
        <f>$D48*AVERAGE('Параметры инвестиции'!$G$116:$I$116)</f>
        <v>1252.444375</v>
      </c>
      <c r="H17" s="10">
        <f t="shared" ref="H17:Y17" si="16">$D48</f>
        <v>1356.03</v>
      </c>
      <c r="I17" s="12">
        <f t="shared" si="16"/>
        <v>1356.03</v>
      </c>
      <c r="J17" s="11">
        <f t="shared" si="16"/>
        <v>1356.03</v>
      </c>
      <c r="K17" s="10">
        <f t="shared" si="16"/>
        <v>1356.03</v>
      </c>
      <c r="L17" s="10">
        <f t="shared" si="16"/>
        <v>1356.03</v>
      </c>
      <c r="M17" s="12">
        <f t="shared" si="16"/>
        <v>1356.03</v>
      </c>
      <c r="N17" s="11">
        <f t="shared" si="16"/>
        <v>1356.03</v>
      </c>
      <c r="O17" s="10">
        <f t="shared" si="16"/>
        <v>1356.03</v>
      </c>
      <c r="P17" s="10">
        <f t="shared" si="16"/>
        <v>1356.03</v>
      </c>
      <c r="Q17" s="12">
        <f t="shared" si="16"/>
        <v>1356.03</v>
      </c>
      <c r="R17" s="11">
        <f t="shared" si="16"/>
        <v>1356.03</v>
      </c>
      <c r="S17" s="10">
        <f t="shared" si="16"/>
        <v>1356.03</v>
      </c>
      <c r="T17" s="10">
        <f t="shared" si="16"/>
        <v>1356.03</v>
      </c>
      <c r="U17" s="12">
        <f t="shared" si="16"/>
        <v>1356.03</v>
      </c>
      <c r="V17" s="11">
        <f t="shared" si="16"/>
        <v>1356.03</v>
      </c>
      <c r="W17" s="10">
        <f t="shared" si="16"/>
        <v>1356.03</v>
      </c>
      <c r="X17" s="10">
        <f t="shared" si="16"/>
        <v>1356.03</v>
      </c>
      <c r="Y17" s="12">
        <f t="shared" si="16"/>
        <v>1356.03</v>
      </c>
      <c r="Z17" s="13">
        <f t="shared" si="13"/>
        <v>26047.076249999995</v>
      </c>
    </row>
    <row r="18" spans="1:26" s="3" customFormat="1" ht="15" x14ac:dyDescent="0.25">
      <c r="A18" s="40" t="str">
        <f t="shared" si="14"/>
        <v>Вывоз ТБО</v>
      </c>
      <c r="B18" s="10">
        <f t="shared" si="15"/>
        <v>3469.74</v>
      </c>
      <c r="C18" s="10">
        <f t="shared" si="11"/>
        <v>13878.96</v>
      </c>
      <c r="E18" s="10"/>
      <c r="F18" s="10">
        <f>B18*AVERAGE('Параметры инвестиции'!$D$116:$F$116)</f>
        <v>987.91208333333327</v>
      </c>
      <c r="G18" s="10">
        <f>$D49*AVERAGE('Параметры инвестиции'!$G$116:$I$116)</f>
        <v>3204.6904166666668</v>
      </c>
      <c r="H18" s="10">
        <f t="shared" ref="H18:Y18" si="17">$D49</f>
        <v>3469.74</v>
      </c>
      <c r="I18" s="12">
        <f t="shared" si="17"/>
        <v>3469.74</v>
      </c>
      <c r="J18" s="11">
        <f t="shared" si="17"/>
        <v>3469.74</v>
      </c>
      <c r="K18" s="10">
        <f t="shared" si="17"/>
        <v>3469.74</v>
      </c>
      <c r="L18" s="10">
        <f t="shared" si="17"/>
        <v>3469.74</v>
      </c>
      <c r="M18" s="12">
        <f t="shared" si="17"/>
        <v>3469.74</v>
      </c>
      <c r="N18" s="11">
        <f t="shared" si="17"/>
        <v>3469.74</v>
      </c>
      <c r="O18" s="10">
        <f t="shared" si="17"/>
        <v>3469.74</v>
      </c>
      <c r="P18" s="10">
        <f t="shared" si="17"/>
        <v>3469.74</v>
      </c>
      <c r="Q18" s="12">
        <f t="shared" si="17"/>
        <v>3469.74</v>
      </c>
      <c r="R18" s="11">
        <f t="shared" si="17"/>
        <v>3469.74</v>
      </c>
      <c r="S18" s="10">
        <f t="shared" si="17"/>
        <v>3469.74</v>
      </c>
      <c r="T18" s="10">
        <f t="shared" si="17"/>
        <v>3469.74</v>
      </c>
      <c r="U18" s="12">
        <f t="shared" si="17"/>
        <v>3469.74</v>
      </c>
      <c r="V18" s="11">
        <f t="shared" si="17"/>
        <v>3469.74</v>
      </c>
      <c r="W18" s="10">
        <f t="shared" si="17"/>
        <v>3469.74</v>
      </c>
      <c r="X18" s="10">
        <f t="shared" si="17"/>
        <v>3469.74</v>
      </c>
      <c r="Y18" s="12">
        <f t="shared" si="17"/>
        <v>3469.74</v>
      </c>
      <c r="Z18" s="13">
        <f t="shared" si="13"/>
        <v>66647.922499999971</v>
      </c>
    </row>
    <row r="19" spans="1:26" s="3" customFormat="1" ht="15" x14ac:dyDescent="0.25">
      <c r="A19" s="40" t="str">
        <f t="shared" si="14"/>
        <v>Хозяйственные расходы</v>
      </c>
      <c r="B19" s="10">
        <f t="shared" si="15"/>
        <v>27000</v>
      </c>
      <c r="C19" s="10">
        <f t="shared" si="11"/>
        <v>108000</v>
      </c>
      <c r="E19" s="10"/>
      <c r="F19" s="10">
        <f>B19*AVERAGE('Параметры инвестиции'!$D$116:$F$116)</f>
        <v>7687.5</v>
      </c>
      <c r="G19" s="10">
        <f>$D50*AVERAGE('Параметры инвестиции'!$G$116:$I$116)</f>
        <v>24937.5</v>
      </c>
      <c r="H19" s="10">
        <f t="shared" ref="H19:Y19" si="18">$D50</f>
        <v>27000</v>
      </c>
      <c r="I19" s="12">
        <f t="shared" si="18"/>
        <v>27000</v>
      </c>
      <c r="J19" s="11">
        <f t="shared" si="18"/>
        <v>27000</v>
      </c>
      <c r="K19" s="10">
        <f t="shared" si="18"/>
        <v>27000</v>
      </c>
      <c r="L19" s="10">
        <f t="shared" si="18"/>
        <v>27000</v>
      </c>
      <c r="M19" s="12">
        <f t="shared" si="18"/>
        <v>27000</v>
      </c>
      <c r="N19" s="11">
        <f t="shared" si="18"/>
        <v>27000</v>
      </c>
      <c r="O19" s="10">
        <f t="shared" si="18"/>
        <v>27000</v>
      </c>
      <c r="P19" s="10">
        <f t="shared" si="18"/>
        <v>27000</v>
      </c>
      <c r="Q19" s="12">
        <f t="shared" si="18"/>
        <v>27000</v>
      </c>
      <c r="R19" s="11">
        <f t="shared" si="18"/>
        <v>27000</v>
      </c>
      <c r="S19" s="10">
        <f t="shared" si="18"/>
        <v>27000</v>
      </c>
      <c r="T19" s="10">
        <f t="shared" si="18"/>
        <v>27000</v>
      </c>
      <c r="U19" s="12">
        <f t="shared" si="18"/>
        <v>27000</v>
      </c>
      <c r="V19" s="11">
        <f t="shared" si="18"/>
        <v>27000</v>
      </c>
      <c r="W19" s="10">
        <f t="shared" si="18"/>
        <v>27000</v>
      </c>
      <c r="X19" s="10">
        <f t="shared" si="18"/>
        <v>27000</v>
      </c>
      <c r="Y19" s="12">
        <f t="shared" si="18"/>
        <v>27000</v>
      </c>
      <c r="Z19" s="13">
        <f t="shared" si="13"/>
        <v>518625</v>
      </c>
    </row>
    <row r="20" spans="1:26" s="3" customFormat="1" ht="15" x14ac:dyDescent="0.25">
      <c r="A20" s="40" t="str">
        <f t="shared" si="14"/>
        <v>Канцелярские расходы</v>
      </c>
      <c r="B20" s="10">
        <f t="shared" si="15"/>
        <v>27000</v>
      </c>
      <c r="C20" s="10">
        <f t="shared" si="11"/>
        <v>108000</v>
      </c>
      <c r="E20" s="10"/>
      <c r="F20" s="10">
        <f>B20*AVERAGE('Параметры инвестиции'!$D$116:$F$116)</f>
        <v>7687.5</v>
      </c>
      <c r="G20" s="10">
        <f>$D51*AVERAGE('Параметры инвестиции'!$G$116:$I$116)</f>
        <v>24937.5</v>
      </c>
      <c r="H20" s="10">
        <f t="shared" ref="H20:Y20" si="19">$D51</f>
        <v>27000</v>
      </c>
      <c r="I20" s="12">
        <f t="shared" si="19"/>
        <v>27000</v>
      </c>
      <c r="J20" s="11">
        <f t="shared" si="19"/>
        <v>27000</v>
      </c>
      <c r="K20" s="10">
        <f t="shared" si="19"/>
        <v>27000</v>
      </c>
      <c r="L20" s="10">
        <f t="shared" si="19"/>
        <v>27000</v>
      </c>
      <c r="M20" s="12">
        <f t="shared" si="19"/>
        <v>27000</v>
      </c>
      <c r="N20" s="11">
        <f t="shared" si="19"/>
        <v>27000</v>
      </c>
      <c r="O20" s="10">
        <f t="shared" si="19"/>
        <v>27000</v>
      </c>
      <c r="P20" s="10">
        <f t="shared" si="19"/>
        <v>27000</v>
      </c>
      <c r="Q20" s="12">
        <f t="shared" si="19"/>
        <v>27000</v>
      </c>
      <c r="R20" s="11">
        <f t="shared" si="19"/>
        <v>27000</v>
      </c>
      <c r="S20" s="10">
        <f t="shared" si="19"/>
        <v>27000</v>
      </c>
      <c r="T20" s="10">
        <f t="shared" si="19"/>
        <v>27000</v>
      </c>
      <c r="U20" s="12">
        <f t="shared" si="19"/>
        <v>27000</v>
      </c>
      <c r="V20" s="11">
        <f t="shared" si="19"/>
        <v>27000</v>
      </c>
      <c r="W20" s="10">
        <f t="shared" si="19"/>
        <v>27000</v>
      </c>
      <c r="X20" s="10">
        <f t="shared" si="19"/>
        <v>27000</v>
      </c>
      <c r="Y20" s="12">
        <f t="shared" si="19"/>
        <v>27000</v>
      </c>
      <c r="Z20" s="13">
        <f t="shared" si="13"/>
        <v>518625</v>
      </c>
    </row>
    <row r="21" spans="1:26" s="3" customFormat="1" ht="15" x14ac:dyDescent="0.25">
      <c r="A21" s="40" t="str">
        <f t="shared" si="14"/>
        <v>Интернет</v>
      </c>
      <c r="B21" s="10">
        <f t="shared" si="15"/>
        <v>27000</v>
      </c>
      <c r="C21" s="10">
        <f t="shared" si="11"/>
        <v>108000</v>
      </c>
      <c r="E21" s="10"/>
      <c r="F21" s="10">
        <f>B21*AVERAGE('Параметры инвестиции'!$D$116:$F$116)</f>
        <v>7687.5</v>
      </c>
      <c r="G21" s="10">
        <f>$D52*AVERAGE('Параметры инвестиции'!$G$116:$I$116)</f>
        <v>24937.5</v>
      </c>
      <c r="H21" s="10">
        <f t="shared" ref="H21:Y21" si="20">$D52</f>
        <v>27000</v>
      </c>
      <c r="I21" s="12">
        <f t="shared" si="20"/>
        <v>27000</v>
      </c>
      <c r="J21" s="11">
        <f t="shared" si="20"/>
        <v>27000</v>
      </c>
      <c r="K21" s="10">
        <f t="shared" si="20"/>
        <v>27000</v>
      </c>
      <c r="L21" s="10">
        <f t="shared" si="20"/>
        <v>27000</v>
      </c>
      <c r="M21" s="12">
        <f t="shared" si="20"/>
        <v>27000</v>
      </c>
      <c r="N21" s="11">
        <f t="shared" si="20"/>
        <v>27000</v>
      </c>
      <c r="O21" s="10">
        <f t="shared" si="20"/>
        <v>27000</v>
      </c>
      <c r="P21" s="10">
        <f t="shared" si="20"/>
        <v>27000</v>
      </c>
      <c r="Q21" s="12">
        <f t="shared" si="20"/>
        <v>27000</v>
      </c>
      <c r="R21" s="11">
        <f t="shared" si="20"/>
        <v>27000</v>
      </c>
      <c r="S21" s="10">
        <f t="shared" si="20"/>
        <v>27000</v>
      </c>
      <c r="T21" s="10">
        <f t="shared" si="20"/>
        <v>27000</v>
      </c>
      <c r="U21" s="12">
        <f t="shared" si="20"/>
        <v>27000</v>
      </c>
      <c r="V21" s="11">
        <f t="shared" si="20"/>
        <v>27000</v>
      </c>
      <c r="W21" s="10">
        <f t="shared" si="20"/>
        <v>27000</v>
      </c>
      <c r="X21" s="10">
        <f t="shared" si="20"/>
        <v>27000</v>
      </c>
      <c r="Y21" s="12">
        <f t="shared" si="20"/>
        <v>27000</v>
      </c>
      <c r="Z21" s="13">
        <f t="shared" si="13"/>
        <v>518625</v>
      </c>
    </row>
    <row r="22" spans="1:26" s="3" customFormat="1" ht="15" x14ac:dyDescent="0.25">
      <c r="A22" s="40" t="str">
        <f t="shared" si="14"/>
        <v>Телефон</v>
      </c>
      <c r="B22" s="10">
        <f t="shared" si="15"/>
        <v>27000</v>
      </c>
      <c r="C22" s="10">
        <f t="shared" si="11"/>
        <v>108000</v>
      </c>
      <c r="E22" s="10"/>
      <c r="F22" s="10">
        <f>B22*AVERAGE('Параметры инвестиции'!$D$116:$F$116)</f>
        <v>7687.5</v>
      </c>
      <c r="G22" s="10">
        <f>$D53*AVERAGE('Параметры инвестиции'!$G$116:$I$116)</f>
        <v>24937.5</v>
      </c>
      <c r="H22" s="10">
        <f t="shared" ref="H22:Y22" si="21">$D53</f>
        <v>27000</v>
      </c>
      <c r="I22" s="12">
        <f t="shared" si="21"/>
        <v>27000</v>
      </c>
      <c r="J22" s="11">
        <f t="shared" si="21"/>
        <v>27000</v>
      </c>
      <c r="K22" s="10">
        <f t="shared" si="21"/>
        <v>27000</v>
      </c>
      <c r="L22" s="10">
        <f t="shared" si="21"/>
        <v>27000</v>
      </c>
      <c r="M22" s="12">
        <f t="shared" si="21"/>
        <v>27000</v>
      </c>
      <c r="N22" s="11">
        <f t="shared" si="21"/>
        <v>27000</v>
      </c>
      <c r="O22" s="10">
        <f t="shared" si="21"/>
        <v>27000</v>
      </c>
      <c r="P22" s="10">
        <f t="shared" si="21"/>
        <v>27000</v>
      </c>
      <c r="Q22" s="12">
        <f t="shared" si="21"/>
        <v>27000</v>
      </c>
      <c r="R22" s="11">
        <f t="shared" si="21"/>
        <v>27000</v>
      </c>
      <c r="S22" s="10">
        <f t="shared" si="21"/>
        <v>27000</v>
      </c>
      <c r="T22" s="10">
        <f t="shared" si="21"/>
        <v>27000</v>
      </c>
      <c r="U22" s="12">
        <f t="shared" si="21"/>
        <v>27000</v>
      </c>
      <c r="V22" s="11">
        <f t="shared" si="21"/>
        <v>27000</v>
      </c>
      <c r="W22" s="10">
        <f t="shared" si="21"/>
        <v>27000</v>
      </c>
      <c r="X22" s="10">
        <f t="shared" si="21"/>
        <v>27000</v>
      </c>
      <c r="Y22" s="12">
        <f t="shared" si="21"/>
        <v>27000</v>
      </c>
      <c r="Z22" s="13">
        <f t="shared" si="13"/>
        <v>518625</v>
      </c>
    </row>
    <row r="23" spans="1:26" s="3" customFormat="1" ht="15" x14ac:dyDescent="0.25">
      <c r="A23" s="40" t="str">
        <f t="shared" si="14"/>
        <v>Программное обеспечение</v>
      </c>
      <c r="B23" s="10">
        <f t="shared" si="15"/>
        <v>27000</v>
      </c>
      <c r="C23" s="10">
        <f t="shared" si="11"/>
        <v>108000</v>
      </c>
      <c r="E23" s="10"/>
      <c r="F23" s="10">
        <f>B23*AVERAGE('Параметры инвестиции'!$D$116:$F$116)</f>
        <v>7687.5</v>
      </c>
      <c r="G23" s="10">
        <f>$D54*AVERAGE('Параметры инвестиции'!$G$116:$I$116)</f>
        <v>24937.5</v>
      </c>
      <c r="H23" s="10">
        <f t="shared" ref="H23:Y23" si="22">$D54</f>
        <v>27000</v>
      </c>
      <c r="I23" s="12">
        <f t="shared" si="22"/>
        <v>27000</v>
      </c>
      <c r="J23" s="11">
        <f t="shared" si="22"/>
        <v>27000</v>
      </c>
      <c r="K23" s="10">
        <f t="shared" si="22"/>
        <v>27000</v>
      </c>
      <c r="L23" s="10">
        <f t="shared" si="22"/>
        <v>27000</v>
      </c>
      <c r="M23" s="12">
        <f t="shared" si="22"/>
        <v>27000</v>
      </c>
      <c r="N23" s="11">
        <f t="shared" si="22"/>
        <v>27000</v>
      </c>
      <c r="O23" s="10">
        <f t="shared" si="22"/>
        <v>27000</v>
      </c>
      <c r="P23" s="10">
        <f t="shared" si="22"/>
        <v>27000</v>
      </c>
      <c r="Q23" s="12">
        <f t="shared" si="22"/>
        <v>27000</v>
      </c>
      <c r="R23" s="11">
        <f t="shared" si="22"/>
        <v>27000</v>
      </c>
      <c r="S23" s="10">
        <f t="shared" si="22"/>
        <v>27000</v>
      </c>
      <c r="T23" s="10">
        <f t="shared" si="22"/>
        <v>27000</v>
      </c>
      <c r="U23" s="12">
        <f t="shared" si="22"/>
        <v>27000</v>
      </c>
      <c r="V23" s="11">
        <f t="shared" si="22"/>
        <v>27000</v>
      </c>
      <c r="W23" s="10">
        <f t="shared" si="22"/>
        <v>27000</v>
      </c>
      <c r="X23" s="10">
        <f t="shared" si="22"/>
        <v>27000</v>
      </c>
      <c r="Y23" s="12">
        <f t="shared" si="22"/>
        <v>27000</v>
      </c>
      <c r="Z23" s="13">
        <f t="shared" si="13"/>
        <v>518625</v>
      </c>
    </row>
    <row r="24" spans="1:26" s="3" customFormat="1" ht="15" x14ac:dyDescent="0.25">
      <c r="A24" s="40" t="str">
        <f t="shared" si="14"/>
        <v>Маркетинг и реклама</v>
      </c>
      <c r="B24" s="10">
        <f t="shared" si="15"/>
        <v>206926.37909999996</v>
      </c>
      <c r="C24" s="10">
        <f t="shared" si="11"/>
        <v>827705.51639999985</v>
      </c>
      <c r="E24" s="10"/>
      <c r="F24" s="10">
        <f>B24*AVERAGE('Параметры инвестиции'!$D$116:$F$116)</f>
        <v>58916.538493749984</v>
      </c>
      <c r="G24" s="10">
        <f>$D55*AVERAGE('Параметры инвестиции'!$G$116:$I$116)</f>
        <v>191119.50291874999</v>
      </c>
      <c r="H24" s="10">
        <f t="shared" ref="H24:Y24" si="23">$D55</f>
        <v>206926.37909999996</v>
      </c>
      <c r="I24" s="12">
        <f t="shared" si="23"/>
        <v>206926.37909999996</v>
      </c>
      <c r="J24" s="11">
        <f t="shared" si="23"/>
        <v>206926.37909999996</v>
      </c>
      <c r="K24" s="10">
        <f t="shared" si="23"/>
        <v>206926.37909999996</v>
      </c>
      <c r="L24" s="10">
        <f t="shared" si="23"/>
        <v>206926.37909999996</v>
      </c>
      <c r="M24" s="12">
        <f t="shared" si="23"/>
        <v>206926.37909999996</v>
      </c>
      <c r="N24" s="11">
        <f t="shared" si="23"/>
        <v>206926.37909999996</v>
      </c>
      <c r="O24" s="10">
        <f t="shared" si="23"/>
        <v>206926.37909999996</v>
      </c>
      <c r="P24" s="10">
        <f t="shared" si="23"/>
        <v>206926.37909999996</v>
      </c>
      <c r="Q24" s="12">
        <f t="shared" si="23"/>
        <v>206926.37909999996</v>
      </c>
      <c r="R24" s="11">
        <f t="shared" si="23"/>
        <v>206926.37909999996</v>
      </c>
      <c r="S24" s="10">
        <f t="shared" si="23"/>
        <v>206926.37909999996</v>
      </c>
      <c r="T24" s="10">
        <f t="shared" si="23"/>
        <v>206926.37909999996</v>
      </c>
      <c r="U24" s="12">
        <f t="shared" si="23"/>
        <v>206926.37909999996</v>
      </c>
      <c r="V24" s="11">
        <f t="shared" si="23"/>
        <v>206926.37909999996</v>
      </c>
      <c r="W24" s="10">
        <f t="shared" si="23"/>
        <v>206926.37909999996</v>
      </c>
      <c r="X24" s="10">
        <f t="shared" si="23"/>
        <v>206926.37909999996</v>
      </c>
      <c r="Y24" s="12">
        <f t="shared" si="23"/>
        <v>206926.37909999996</v>
      </c>
      <c r="Z24" s="13">
        <f t="shared" si="13"/>
        <v>3974710.8652125001</v>
      </c>
    </row>
    <row r="25" spans="1:26" s="3" customFormat="1" ht="15" x14ac:dyDescent="0.25">
      <c r="A25" s="40" t="str">
        <f t="shared" si="14"/>
        <v>Прочие расходы</v>
      </c>
      <c r="B25" s="10">
        <f t="shared" si="15"/>
        <v>103463.18954999998</v>
      </c>
      <c r="C25" s="10">
        <f t="shared" si="11"/>
        <v>413852.75819999992</v>
      </c>
      <c r="E25" s="10"/>
      <c r="F25" s="10">
        <f>B25*AVERAGE('Параметры инвестиции'!$D$116:$F$116)</f>
        <v>29458.269246874992</v>
      </c>
      <c r="G25" s="10">
        <f t="shared" ref="G25:Y25" si="24">$D56</f>
        <v>103463.18954999998</v>
      </c>
      <c r="H25" s="10">
        <f t="shared" si="24"/>
        <v>103463.18954999998</v>
      </c>
      <c r="I25" s="12">
        <f t="shared" si="24"/>
        <v>103463.18954999998</v>
      </c>
      <c r="J25" s="11">
        <f t="shared" si="24"/>
        <v>103463.18954999998</v>
      </c>
      <c r="K25" s="10">
        <f t="shared" si="24"/>
        <v>103463.18954999998</v>
      </c>
      <c r="L25" s="10">
        <f t="shared" si="24"/>
        <v>103463.18954999998</v>
      </c>
      <c r="M25" s="12">
        <f t="shared" si="24"/>
        <v>103463.18954999998</v>
      </c>
      <c r="N25" s="11">
        <f t="shared" si="24"/>
        <v>103463.18954999998</v>
      </c>
      <c r="O25" s="10">
        <f t="shared" si="24"/>
        <v>103463.18954999998</v>
      </c>
      <c r="P25" s="10">
        <f t="shared" si="24"/>
        <v>103463.18954999998</v>
      </c>
      <c r="Q25" s="12">
        <f t="shared" si="24"/>
        <v>103463.18954999998</v>
      </c>
      <c r="R25" s="11">
        <f t="shared" si="24"/>
        <v>103463.18954999998</v>
      </c>
      <c r="S25" s="10">
        <f t="shared" si="24"/>
        <v>103463.18954999998</v>
      </c>
      <c r="T25" s="10">
        <f t="shared" si="24"/>
        <v>103463.18954999998</v>
      </c>
      <c r="U25" s="12">
        <f t="shared" si="24"/>
        <v>103463.18954999998</v>
      </c>
      <c r="V25" s="11">
        <f t="shared" si="24"/>
        <v>103463.18954999998</v>
      </c>
      <c r="W25" s="10">
        <f t="shared" si="24"/>
        <v>103463.18954999998</v>
      </c>
      <c r="X25" s="10">
        <f t="shared" si="24"/>
        <v>103463.18954999998</v>
      </c>
      <c r="Y25" s="12">
        <f t="shared" si="24"/>
        <v>103463.18954999998</v>
      </c>
      <c r="Z25" s="13">
        <f t="shared" si="13"/>
        <v>1995258.870696875</v>
      </c>
    </row>
    <row r="26" spans="1:26" s="9" customFormat="1" ht="15" x14ac:dyDescent="0.25">
      <c r="A26" s="9" t="s">
        <v>7</v>
      </c>
      <c r="B26" s="13">
        <f>SUM(B14:B25)</f>
        <v>21003027.478649996</v>
      </c>
      <c r="C26" s="13">
        <f t="shared" si="11"/>
        <v>84012109.914599985</v>
      </c>
      <c r="E26" s="13"/>
      <c r="F26" s="14">
        <f t="shared" ref="F26:Z26" si="25">SUM(F14:F25)</f>
        <v>5980028.6571156234</v>
      </c>
      <c r="G26" s="13">
        <f t="shared" si="25"/>
        <v>19406532.984343752</v>
      </c>
      <c r="H26" s="13">
        <f t="shared" si="25"/>
        <v>21003027.478649996</v>
      </c>
      <c r="I26" s="15">
        <f t="shared" si="25"/>
        <v>21003027.478649996</v>
      </c>
      <c r="J26" s="14">
        <f t="shared" si="25"/>
        <v>21003027.478649996</v>
      </c>
      <c r="K26" s="13">
        <f t="shared" si="25"/>
        <v>21003027.478649996</v>
      </c>
      <c r="L26" s="13">
        <f t="shared" si="25"/>
        <v>21003027.478649996</v>
      </c>
      <c r="M26" s="15">
        <f t="shared" si="25"/>
        <v>21003027.478649996</v>
      </c>
      <c r="N26" s="14">
        <f t="shared" si="25"/>
        <v>21003027.478649996</v>
      </c>
      <c r="O26" s="13">
        <f t="shared" si="25"/>
        <v>21003027.478649996</v>
      </c>
      <c r="P26" s="13">
        <f t="shared" si="25"/>
        <v>21003027.478649996</v>
      </c>
      <c r="Q26" s="15">
        <f t="shared" si="25"/>
        <v>21003027.478649996</v>
      </c>
      <c r="R26" s="14">
        <f t="shared" si="25"/>
        <v>21003027.478649996</v>
      </c>
      <c r="S26" s="13">
        <f t="shared" si="25"/>
        <v>21003027.478649996</v>
      </c>
      <c r="T26" s="13">
        <f t="shared" si="25"/>
        <v>21003027.478649996</v>
      </c>
      <c r="U26" s="15">
        <f t="shared" si="25"/>
        <v>21003027.478649996</v>
      </c>
      <c r="V26" s="14">
        <f t="shared" si="25"/>
        <v>21003027.478649996</v>
      </c>
      <c r="W26" s="13">
        <f t="shared" si="25"/>
        <v>21003027.478649996</v>
      </c>
      <c r="X26" s="13">
        <f t="shared" si="25"/>
        <v>21003027.478649996</v>
      </c>
      <c r="Y26" s="15">
        <f t="shared" si="25"/>
        <v>21003027.478649996</v>
      </c>
      <c r="Z26" s="13">
        <f t="shared" si="25"/>
        <v>403441056.25715929</v>
      </c>
    </row>
    <row r="27" spans="1:26" s="3" customFormat="1" ht="15" x14ac:dyDescent="0.25">
      <c r="F27" s="368">
        <f>SUM(F26:I26)</f>
        <v>67392616.598759368</v>
      </c>
      <c r="G27" s="369"/>
      <c r="H27" s="369"/>
      <c r="I27" s="370"/>
      <c r="J27" s="368">
        <f t="shared" ref="J27" si="26">SUM(J26:M26)</f>
        <v>84012109.914599985</v>
      </c>
      <c r="K27" s="369"/>
      <c r="L27" s="369"/>
      <c r="M27" s="370"/>
      <c r="N27" s="368">
        <f t="shared" ref="N27" si="27">SUM(N26:Q26)</f>
        <v>84012109.914599985</v>
      </c>
      <c r="O27" s="369"/>
      <c r="P27" s="369"/>
      <c r="Q27" s="370"/>
      <c r="R27" s="368">
        <f t="shared" ref="R27" si="28">SUM(R26:U26)</f>
        <v>84012109.914599985</v>
      </c>
      <c r="S27" s="369"/>
      <c r="T27" s="369"/>
      <c r="U27" s="370"/>
      <c r="V27" s="368">
        <f t="shared" ref="V27" si="29">SUM(V26:Y26)</f>
        <v>84012109.914599985</v>
      </c>
      <c r="W27" s="369"/>
      <c r="X27" s="369"/>
      <c r="Y27" s="370"/>
      <c r="Z27" s="13">
        <f>SUM(F27:Y27)</f>
        <v>403441056.25715935</v>
      </c>
    </row>
    <row r="28" spans="1:26" s="3" customFormat="1" ht="15" x14ac:dyDescent="0.25">
      <c r="F28" s="61"/>
      <c r="G28" s="62"/>
      <c r="H28" s="62"/>
      <c r="I28" s="63"/>
      <c r="J28" s="61"/>
      <c r="K28" s="62"/>
      <c r="L28" s="62"/>
      <c r="M28" s="63"/>
      <c r="N28" s="61"/>
      <c r="O28" s="62"/>
      <c r="P28" s="62"/>
      <c r="Q28" s="63"/>
      <c r="R28" s="61"/>
      <c r="S28" s="62"/>
      <c r="T28" s="62"/>
      <c r="U28" s="63"/>
      <c r="V28" s="61"/>
      <c r="W28" s="62"/>
      <c r="X28" s="62"/>
      <c r="Y28" s="63"/>
      <c r="Z28" s="13"/>
    </row>
    <row r="29" spans="1:26" s="3" customFormat="1" ht="15" x14ac:dyDescent="0.25">
      <c r="A29" s="9" t="s">
        <v>66</v>
      </c>
      <c r="B29" s="13">
        <f>B9+B26</f>
        <v>53542185.478649996</v>
      </c>
      <c r="C29" s="13">
        <f>C9+C26</f>
        <v>214168741.91459998</v>
      </c>
      <c r="F29" s="14">
        <f t="shared" ref="F29:Z29" si="30">F9+F26</f>
        <v>5980028.6571156234</v>
      </c>
      <c r="G29" s="13">
        <f t="shared" si="30"/>
        <v>38930027.784343749</v>
      </c>
      <c r="H29" s="13">
        <f t="shared" si="30"/>
        <v>43780438.078649998</v>
      </c>
      <c r="I29" s="15">
        <f t="shared" si="30"/>
        <v>47034353.878649995</v>
      </c>
      <c r="J29" s="14">
        <f t="shared" si="30"/>
        <v>50288269.678649992</v>
      </c>
      <c r="K29" s="13">
        <f t="shared" si="30"/>
        <v>53542185.478649996</v>
      </c>
      <c r="L29" s="13">
        <f t="shared" si="30"/>
        <v>53542185.478649996</v>
      </c>
      <c r="M29" s="15">
        <f t="shared" si="30"/>
        <v>53542185.478649996</v>
      </c>
      <c r="N29" s="14">
        <f t="shared" si="30"/>
        <v>53542185.478649996</v>
      </c>
      <c r="O29" s="13">
        <f t="shared" si="30"/>
        <v>53542185.478649996</v>
      </c>
      <c r="P29" s="13">
        <f t="shared" si="30"/>
        <v>53542185.478649996</v>
      </c>
      <c r="Q29" s="15">
        <f t="shared" si="30"/>
        <v>53542185.478649996</v>
      </c>
      <c r="R29" s="14">
        <f t="shared" si="30"/>
        <v>53542185.478649996</v>
      </c>
      <c r="S29" s="13">
        <f t="shared" si="30"/>
        <v>53542185.478649996</v>
      </c>
      <c r="T29" s="13">
        <f t="shared" si="30"/>
        <v>53542185.478649996</v>
      </c>
      <c r="U29" s="15">
        <f t="shared" si="30"/>
        <v>53542185.478649996</v>
      </c>
      <c r="V29" s="14">
        <f t="shared" si="30"/>
        <v>53542185.478649996</v>
      </c>
      <c r="W29" s="13">
        <f t="shared" si="30"/>
        <v>53542185.478649996</v>
      </c>
      <c r="X29" s="13">
        <f t="shared" si="30"/>
        <v>53542185.478649996</v>
      </c>
      <c r="Y29" s="15">
        <f t="shared" si="30"/>
        <v>53542185.478649996</v>
      </c>
      <c r="Z29" s="14">
        <f t="shared" si="30"/>
        <v>989145900.25715923</v>
      </c>
    </row>
    <row r="30" spans="1:26" s="3" customFormat="1" ht="15" x14ac:dyDescent="0.25">
      <c r="F30" s="368">
        <f>SUM(F29:I29)</f>
        <v>135724848.39875937</v>
      </c>
      <c r="G30" s="369"/>
      <c r="H30" s="369"/>
      <c r="I30" s="370"/>
      <c r="J30" s="368">
        <f t="shared" ref="J30" si="31">SUM(J29:M29)</f>
        <v>210914826.1146</v>
      </c>
      <c r="K30" s="369"/>
      <c r="L30" s="369"/>
      <c r="M30" s="370"/>
      <c r="N30" s="368">
        <f t="shared" ref="N30" si="32">SUM(N29:Q29)</f>
        <v>214168741.91459998</v>
      </c>
      <c r="O30" s="369"/>
      <c r="P30" s="369"/>
      <c r="Q30" s="370"/>
      <c r="R30" s="368">
        <f t="shared" ref="R30" si="33">SUM(R29:U29)</f>
        <v>214168741.91459998</v>
      </c>
      <c r="S30" s="369"/>
      <c r="T30" s="369"/>
      <c r="U30" s="370"/>
      <c r="V30" s="368">
        <f t="shared" ref="V30" si="34">SUM(V29:Y29)</f>
        <v>214168741.91459998</v>
      </c>
      <c r="W30" s="369"/>
      <c r="X30" s="369"/>
      <c r="Y30" s="370"/>
      <c r="Z30" s="9"/>
    </row>
    <row r="31" spans="1:26" s="41" customFormat="1" ht="15.75" thickBot="1" x14ac:dyDescent="0.3">
      <c r="F31" s="42"/>
      <c r="G31" s="43"/>
      <c r="H31" s="43"/>
      <c r="I31" s="43"/>
      <c r="J31" s="42"/>
      <c r="K31" s="43"/>
      <c r="L31" s="43"/>
      <c r="M31" s="43"/>
      <c r="N31" s="42"/>
      <c r="O31" s="43"/>
      <c r="P31" s="43"/>
      <c r="Q31" s="43"/>
      <c r="R31" s="42"/>
      <c r="S31" s="43"/>
      <c r="T31" s="43"/>
      <c r="U31" s="43"/>
      <c r="V31" s="42"/>
      <c r="W31" s="43"/>
      <c r="X31" s="43"/>
      <c r="Y31" s="43"/>
      <c r="Z31" s="44"/>
    </row>
    <row r="32" spans="1:26" ht="15" thickTop="1" x14ac:dyDescent="0.2"/>
    <row r="33" spans="1:7" ht="15" thickBot="1" x14ac:dyDescent="0.25"/>
    <row r="34" spans="1:7" s="17" customFormat="1" ht="27.75" thickTop="1" thickBot="1" x14ac:dyDescent="0.45">
      <c r="A34" s="373" t="s">
        <v>40</v>
      </c>
      <c r="B34" s="373"/>
      <c r="C34" s="374"/>
    </row>
    <row r="35" spans="1:7" s="18" customFormat="1" ht="15" thickTop="1" x14ac:dyDescent="0.2"/>
    <row r="36" spans="1:7" s="18" customFormat="1" x14ac:dyDescent="0.2">
      <c r="A36" s="19" t="s">
        <v>41</v>
      </c>
    </row>
    <row r="37" spans="1:7" s="18" customFormat="1" ht="43.5" customHeight="1" x14ac:dyDescent="0.2">
      <c r="A37" s="45" t="s">
        <v>2</v>
      </c>
      <c r="B37" s="45" t="s">
        <v>3</v>
      </c>
      <c r="C37" s="45" t="s">
        <v>42</v>
      </c>
      <c r="D37" s="375" t="s">
        <v>43</v>
      </c>
      <c r="E37" s="376"/>
    </row>
    <row r="38" spans="1:7" s="18" customFormat="1" x14ac:dyDescent="0.2">
      <c r="A38" s="34" t="str">
        <f>'Параметры Доходы'!A15</f>
        <v>Печь "ХЛЕБОПЕЧКА"</v>
      </c>
      <c r="B38" s="46" t="str">
        <f>'Параметры Доходы'!B15</f>
        <v>руб./шт.</v>
      </c>
      <c r="C38" s="47">
        <v>0.4899</v>
      </c>
      <c r="D38" s="303">
        <f>C38*'Параметры Доходы'!C15</f>
        <v>1807731</v>
      </c>
    </row>
    <row r="39" spans="1:7" s="18" customFormat="1" hidden="1" x14ac:dyDescent="0.2">
      <c r="A39" s="34">
        <f>'Параметры Доходы'!A16</f>
        <v>0</v>
      </c>
      <c r="B39" s="46">
        <f>'Параметры Доходы'!B16</f>
        <v>0</v>
      </c>
      <c r="C39" s="47">
        <v>0</v>
      </c>
      <c r="D39" s="48">
        <f>C39*'Параметры Доходы'!C16</f>
        <v>0</v>
      </c>
    </row>
    <row r="40" spans="1:7" s="18" customFormat="1" hidden="1" x14ac:dyDescent="0.2">
      <c r="A40" s="34">
        <f>'Параметры Доходы'!A17</f>
        <v>0</v>
      </c>
      <c r="B40" s="46">
        <f>'Параметры Доходы'!B17</f>
        <v>0</v>
      </c>
      <c r="C40" s="47">
        <v>0</v>
      </c>
      <c r="D40" s="48">
        <f>C40*'Параметры Доходы'!C17</f>
        <v>0</v>
      </c>
    </row>
    <row r="41" spans="1:7" s="18" customFormat="1" x14ac:dyDescent="0.2"/>
    <row r="42" spans="1:7" s="18" customFormat="1" x14ac:dyDescent="0.2"/>
    <row r="43" spans="1:7" s="18" customFormat="1" x14ac:dyDescent="0.2">
      <c r="A43" s="19" t="s">
        <v>44</v>
      </c>
    </row>
    <row r="44" spans="1:7" s="18" customFormat="1" x14ac:dyDescent="0.2">
      <c r="A44" s="66" t="s">
        <v>45</v>
      </c>
      <c r="B44" s="66" t="s">
        <v>46</v>
      </c>
      <c r="C44" s="66" t="s">
        <v>67</v>
      </c>
      <c r="D44" s="67" t="s">
        <v>68</v>
      </c>
    </row>
    <row r="45" spans="1:7" s="18" customFormat="1" x14ac:dyDescent="0.2">
      <c r="A45" s="23" t="s">
        <v>47</v>
      </c>
      <c r="B45" s="24" t="s">
        <v>48</v>
      </c>
      <c r="C45" s="50">
        <f>F77</f>
        <v>6206690.9199999999</v>
      </c>
      <c r="D45" s="51">
        <f>C45*3</f>
        <v>18620072.759999998</v>
      </c>
    </row>
    <row r="46" spans="1:7" s="18" customFormat="1" x14ac:dyDescent="0.2">
      <c r="A46" s="28" t="s">
        <v>398</v>
      </c>
      <c r="B46" s="29" t="s">
        <v>362</v>
      </c>
      <c r="C46" s="50">
        <f>'Параметры инвестиции'!B42+'Параметры инвестиции'!B50</f>
        <v>606719</v>
      </c>
      <c r="D46" s="51">
        <f t="shared" ref="D46:D55" si="35">C46*3</f>
        <v>1820157</v>
      </c>
      <c r="F46" s="116">
        <f>'Параметры Доходы'!A25</f>
        <v>690807.6114385426</v>
      </c>
      <c r="G46" s="18" t="str">
        <f>'Параметры Доходы'!B25</f>
        <v>Наличие или отсутствие кассовых разрывов</v>
      </c>
    </row>
    <row r="47" spans="1:7" s="18" customFormat="1" x14ac:dyDescent="0.2">
      <c r="A47" s="28" t="s">
        <v>404</v>
      </c>
      <c r="B47" s="29" t="s">
        <v>362</v>
      </c>
      <c r="C47" s="30">
        <v>37527.46</v>
      </c>
      <c r="D47" s="51">
        <f t="shared" si="35"/>
        <v>112582.38</v>
      </c>
      <c r="F47" s="304">
        <f>'Параметры Доходы'!A26</f>
        <v>3.25</v>
      </c>
      <c r="G47" s="18" t="str">
        <f>'Параметры Доходы'!B26</f>
        <v>Срок окупаемости</v>
      </c>
    </row>
    <row r="48" spans="1:7" s="18" customFormat="1" x14ac:dyDescent="0.2">
      <c r="A48" s="28" t="s">
        <v>49</v>
      </c>
      <c r="B48" s="29" t="s">
        <v>362</v>
      </c>
      <c r="C48" s="30">
        <v>452.01</v>
      </c>
      <c r="D48" s="51">
        <f t="shared" si="35"/>
        <v>1356.03</v>
      </c>
      <c r="F48" s="116">
        <f>'Параметры Доходы'!A27</f>
        <v>959396.4610064748</v>
      </c>
      <c r="G48" s="18" t="str">
        <f>'Параметры Доходы'!B27</f>
        <v>ЧДД</v>
      </c>
    </row>
    <row r="49" spans="1:8" s="18" customFormat="1" x14ac:dyDescent="0.2">
      <c r="A49" s="28" t="s">
        <v>405</v>
      </c>
      <c r="B49" s="29" t="s">
        <v>362</v>
      </c>
      <c r="C49" s="30">
        <v>1156.58</v>
      </c>
      <c r="D49" s="51">
        <f t="shared" si="35"/>
        <v>3469.74</v>
      </c>
      <c r="F49" s="154">
        <f>'Параметры Доходы'!A28</f>
        <v>0.2</v>
      </c>
      <c r="G49" s="18" t="str">
        <f>'Параметры Доходы'!B28</f>
        <v>WACC</v>
      </c>
    </row>
    <row r="50" spans="1:8" s="18" customFormat="1" x14ac:dyDescent="0.2">
      <c r="A50" s="28" t="s">
        <v>50</v>
      </c>
      <c r="B50" s="29" t="s">
        <v>362</v>
      </c>
      <c r="C50" s="52">
        <f>SUM($B$64:$B$76)*1000</f>
        <v>9000</v>
      </c>
      <c r="D50" s="51">
        <f t="shared" si="35"/>
        <v>27000</v>
      </c>
      <c r="F50" s="154">
        <f>'Параметры Доходы'!A29</f>
        <v>0.2051078541210396</v>
      </c>
      <c r="G50" s="18" t="str">
        <f>'Параметры Доходы'!B29</f>
        <v>ВНД</v>
      </c>
    </row>
    <row r="51" spans="1:8" s="18" customFormat="1" x14ac:dyDescent="0.2">
      <c r="A51" s="28" t="s">
        <v>51</v>
      </c>
      <c r="B51" s="29" t="s">
        <v>362</v>
      </c>
      <c r="C51" s="52">
        <f t="shared" ref="C51:C54" si="36">SUM($B$64:$B$76)*1000</f>
        <v>9000</v>
      </c>
      <c r="D51" s="51">
        <f t="shared" si="35"/>
        <v>27000</v>
      </c>
      <c r="F51" s="154">
        <f>'Параметры Доходы'!A30</f>
        <v>0.70635521468244888</v>
      </c>
      <c r="G51" s="18" t="str">
        <f>'Параметры Доходы'!B30</f>
        <v>Точка безубыточности без кредита, %</v>
      </c>
    </row>
    <row r="52" spans="1:8" s="18" customFormat="1" x14ac:dyDescent="0.2">
      <c r="A52" s="28" t="s">
        <v>54</v>
      </c>
      <c r="B52" s="29" t="s">
        <v>362</v>
      </c>
      <c r="C52" s="52">
        <f t="shared" si="36"/>
        <v>9000</v>
      </c>
      <c r="D52" s="51">
        <f t="shared" si="35"/>
        <v>27000</v>
      </c>
      <c r="F52" s="116">
        <f>'Параметры Доходы'!A31</f>
        <v>46916113.359208256</v>
      </c>
      <c r="G52" s="18" t="str">
        <f>'Параметры Доходы'!B31</f>
        <v>Точка безубыточности, в денежном выражении</v>
      </c>
    </row>
    <row r="53" spans="1:8" s="18" customFormat="1" x14ac:dyDescent="0.2">
      <c r="A53" s="28" t="s">
        <v>53</v>
      </c>
      <c r="B53" s="29" t="s">
        <v>362</v>
      </c>
      <c r="C53" s="52">
        <f t="shared" si="36"/>
        <v>9000</v>
      </c>
      <c r="D53" s="51">
        <f t="shared" si="35"/>
        <v>27000</v>
      </c>
      <c r="F53" s="154">
        <f>'Параметры Доходы'!A32</f>
        <v>0.70635521468244888</v>
      </c>
      <c r="G53" s="18" t="str">
        <f>'Параметры Доходы'!B32</f>
        <v>Точка безубыточности с кредитом, %</v>
      </c>
    </row>
    <row r="54" spans="1:8" s="18" customFormat="1" x14ac:dyDescent="0.2">
      <c r="A54" s="28" t="s">
        <v>407</v>
      </c>
      <c r="B54" s="29" t="s">
        <v>362</v>
      </c>
      <c r="C54" s="52">
        <f t="shared" si="36"/>
        <v>9000</v>
      </c>
      <c r="D54" s="51">
        <f t="shared" si="35"/>
        <v>27000</v>
      </c>
      <c r="F54" s="116">
        <f>'Параметры Доходы'!A33</f>
        <v>1</v>
      </c>
      <c r="G54" s="18" t="str">
        <f>'Параметры Доходы'!B33</f>
        <v>В каком квартале начинаем возвращать кредит</v>
      </c>
    </row>
    <row r="55" spans="1:8" s="18" customFormat="1" x14ac:dyDescent="0.2">
      <c r="A55" s="28" t="s">
        <v>52</v>
      </c>
      <c r="B55" s="29" t="s">
        <v>406</v>
      </c>
      <c r="C55" s="52">
        <f>SUM(C45:C54)*0.01</f>
        <v>68975.459699999992</v>
      </c>
      <c r="D55" s="51">
        <f t="shared" si="35"/>
        <v>206926.37909999996</v>
      </c>
    </row>
    <row r="56" spans="1:8" s="18" customFormat="1" x14ac:dyDescent="0.2">
      <c r="A56" s="28" t="s">
        <v>55</v>
      </c>
      <c r="B56" s="29" t="s">
        <v>408</v>
      </c>
      <c r="C56" s="52">
        <f>SUM(C45:C54)*0.005</f>
        <v>34487.729849999996</v>
      </c>
      <c r="D56" s="51">
        <f>C56*3</f>
        <v>103463.18954999998</v>
      </c>
    </row>
    <row r="57" spans="1:8" s="18" customFormat="1" x14ac:dyDescent="0.2"/>
    <row r="58" spans="1:8" s="18" customFormat="1" x14ac:dyDescent="0.2"/>
    <row r="59" spans="1:8" s="18" customFormat="1" x14ac:dyDescent="0.2"/>
    <row r="60" spans="1:8" s="18" customFormat="1" x14ac:dyDescent="0.2"/>
    <row r="61" spans="1:8" s="18" customFormat="1" x14ac:dyDescent="0.2">
      <c r="A61" s="19" t="s">
        <v>56</v>
      </c>
    </row>
    <row r="62" spans="1:8" s="18" customFormat="1" ht="46.5" customHeight="1" x14ac:dyDescent="0.2">
      <c r="A62" s="64" t="s">
        <v>57</v>
      </c>
      <c r="B62" s="65" t="s">
        <v>58</v>
      </c>
      <c r="C62" s="65" t="s">
        <v>47</v>
      </c>
      <c r="D62" s="53" t="s">
        <v>59</v>
      </c>
      <c r="E62" s="53" t="s">
        <v>60</v>
      </c>
      <c r="F62" s="53" t="s">
        <v>338</v>
      </c>
      <c r="G62" s="31"/>
      <c r="H62" s="31"/>
    </row>
    <row r="63" spans="1:8" s="18" customFormat="1" x14ac:dyDescent="0.2">
      <c r="A63" s="28" t="s">
        <v>335</v>
      </c>
      <c r="B63" s="30">
        <v>32</v>
      </c>
      <c r="C63" s="30">
        <v>106321.875</v>
      </c>
      <c r="D63" s="52">
        <f t="shared" ref="D63:D76" si="37">B63*C63</f>
        <v>3402300</v>
      </c>
      <c r="E63" s="52">
        <f>D63*$B$80</f>
        <v>1054713</v>
      </c>
      <c r="F63" s="52">
        <f t="shared" ref="F63:F77" si="38">D63+E63</f>
        <v>4457013</v>
      </c>
    </row>
    <row r="64" spans="1:8" s="18" customFormat="1" x14ac:dyDescent="0.2">
      <c r="A64" s="28" t="s">
        <v>336</v>
      </c>
      <c r="B64" s="30">
        <v>1</v>
      </c>
      <c r="C64" s="30">
        <v>114943</v>
      </c>
      <c r="D64" s="52">
        <f t="shared" si="37"/>
        <v>114943</v>
      </c>
      <c r="E64" s="52">
        <f>D64*$B$80</f>
        <v>35632.33</v>
      </c>
      <c r="F64" s="52">
        <f t="shared" si="38"/>
        <v>150575.33000000002</v>
      </c>
    </row>
    <row r="65" spans="1:8" s="18" customFormat="1" x14ac:dyDescent="0.2">
      <c r="A65" s="28" t="s">
        <v>337</v>
      </c>
      <c r="B65" s="30">
        <v>1</v>
      </c>
      <c r="C65" s="30">
        <v>97701</v>
      </c>
      <c r="D65" s="52">
        <f t="shared" si="37"/>
        <v>97701</v>
      </c>
      <c r="E65" s="52">
        <f t="shared" ref="E65:E76" si="39">D65*$B$80</f>
        <v>30287.31</v>
      </c>
      <c r="F65" s="52">
        <f t="shared" si="38"/>
        <v>127988.31</v>
      </c>
    </row>
    <row r="66" spans="1:8" s="18" customFormat="1" x14ac:dyDescent="0.2">
      <c r="A66" s="28" t="s">
        <v>333</v>
      </c>
      <c r="B66" s="30">
        <v>1</v>
      </c>
      <c r="C66" s="30">
        <v>287356</v>
      </c>
      <c r="D66" s="52">
        <f t="shared" si="37"/>
        <v>287356</v>
      </c>
      <c r="E66" s="52">
        <f t="shared" si="39"/>
        <v>89080.36</v>
      </c>
      <c r="F66" s="52">
        <f t="shared" si="38"/>
        <v>376436.36</v>
      </c>
    </row>
    <row r="67" spans="1:8" s="18" customFormat="1" hidden="1" x14ac:dyDescent="0.2">
      <c r="A67" s="28"/>
      <c r="B67" s="30"/>
      <c r="C67" s="30"/>
      <c r="D67" s="52">
        <f t="shared" si="37"/>
        <v>0</v>
      </c>
      <c r="E67" s="52">
        <f t="shared" si="39"/>
        <v>0</v>
      </c>
      <c r="F67" s="52">
        <f t="shared" si="38"/>
        <v>0</v>
      </c>
    </row>
    <row r="68" spans="1:8" s="18" customFormat="1" hidden="1" x14ac:dyDescent="0.2">
      <c r="A68" s="28"/>
      <c r="B68" s="30"/>
      <c r="C68" s="30"/>
      <c r="D68" s="52">
        <f t="shared" si="37"/>
        <v>0</v>
      </c>
      <c r="E68" s="52">
        <f t="shared" si="39"/>
        <v>0</v>
      </c>
      <c r="F68" s="52">
        <f t="shared" si="38"/>
        <v>0</v>
      </c>
    </row>
    <row r="69" spans="1:8" s="18" customFormat="1" x14ac:dyDescent="0.2">
      <c r="A69" s="28" t="s">
        <v>334</v>
      </c>
      <c r="B69" s="30">
        <v>1</v>
      </c>
      <c r="C69" s="30">
        <v>183908</v>
      </c>
      <c r="D69" s="52">
        <f t="shared" si="37"/>
        <v>183908</v>
      </c>
      <c r="E69" s="52">
        <f t="shared" si="39"/>
        <v>57011.48</v>
      </c>
      <c r="F69" s="52">
        <f t="shared" si="38"/>
        <v>240919.48</v>
      </c>
    </row>
    <row r="70" spans="1:8" s="18" customFormat="1" x14ac:dyDescent="0.2">
      <c r="A70" s="28" t="s">
        <v>400</v>
      </c>
      <c r="B70" s="30">
        <v>1</v>
      </c>
      <c r="C70" s="30">
        <v>155172</v>
      </c>
      <c r="D70" s="52">
        <f t="shared" si="37"/>
        <v>155172</v>
      </c>
      <c r="E70" s="52">
        <f t="shared" si="39"/>
        <v>48103.32</v>
      </c>
      <c r="F70" s="52">
        <f t="shared" si="38"/>
        <v>203275.32</v>
      </c>
    </row>
    <row r="71" spans="1:8" s="18" customFormat="1" x14ac:dyDescent="0.2">
      <c r="A71" s="28" t="s">
        <v>401</v>
      </c>
      <c r="B71" s="30">
        <v>1</v>
      </c>
      <c r="C71" s="30">
        <v>149425</v>
      </c>
      <c r="D71" s="52">
        <f t="shared" si="37"/>
        <v>149425</v>
      </c>
      <c r="E71" s="52">
        <f t="shared" si="39"/>
        <v>46321.75</v>
      </c>
      <c r="F71" s="52">
        <f t="shared" si="38"/>
        <v>195746.75</v>
      </c>
    </row>
    <row r="72" spans="1:8" s="18" customFormat="1" x14ac:dyDescent="0.2">
      <c r="A72" s="28" t="s">
        <v>402</v>
      </c>
      <c r="B72" s="30">
        <v>1</v>
      </c>
      <c r="C72" s="30">
        <v>105747</v>
      </c>
      <c r="D72" s="52">
        <f t="shared" si="37"/>
        <v>105747</v>
      </c>
      <c r="E72" s="52">
        <f t="shared" si="39"/>
        <v>32781.57</v>
      </c>
      <c r="F72" s="52">
        <f t="shared" si="38"/>
        <v>138528.57</v>
      </c>
    </row>
    <row r="73" spans="1:8" s="18" customFormat="1" hidden="1" x14ac:dyDescent="0.2">
      <c r="A73" s="28"/>
      <c r="B73" s="30"/>
      <c r="C73" s="30"/>
      <c r="D73" s="52">
        <f t="shared" si="37"/>
        <v>0</v>
      </c>
      <c r="E73" s="52">
        <f t="shared" si="39"/>
        <v>0</v>
      </c>
      <c r="F73" s="52">
        <f t="shared" si="38"/>
        <v>0</v>
      </c>
    </row>
    <row r="74" spans="1:8" s="18" customFormat="1" hidden="1" x14ac:dyDescent="0.2">
      <c r="A74" s="28"/>
      <c r="B74" s="30"/>
      <c r="C74" s="30"/>
      <c r="D74" s="52">
        <f t="shared" si="37"/>
        <v>0</v>
      </c>
      <c r="E74" s="52">
        <f t="shared" si="39"/>
        <v>0</v>
      </c>
      <c r="F74" s="52">
        <f t="shared" si="38"/>
        <v>0</v>
      </c>
    </row>
    <row r="75" spans="1:8" s="18" customFormat="1" x14ac:dyDescent="0.2">
      <c r="A75" s="28" t="s">
        <v>514</v>
      </c>
      <c r="B75" s="30">
        <v>1</v>
      </c>
      <c r="C75" s="30">
        <v>172414</v>
      </c>
      <c r="D75" s="52">
        <f t="shared" si="37"/>
        <v>172414</v>
      </c>
      <c r="E75" s="52">
        <f t="shared" si="39"/>
        <v>53448.34</v>
      </c>
      <c r="F75" s="52">
        <f t="shared" si="38"/>
        <v>225862.34</v>
      </c>
    </row>
    <row r="76" spans="1:8" s="18" customFormat="1" x14ac:dyDescent="0.2">
      <c r="A76" s="28" t="s">
        <v>403</v>
      </c>
      <c r="B76" s="30">
        <v>1</v>
      </c>
      <c r="C76" s="30">
        <v>68966</v>
      </c>
      <c r="D76" s="52">
        <f t="shared" si="37"/>
        <v>68966</v>
      </c>
      <c r="E76" s="52">
        <f t="shared" si="39"/>
        <v>21379.46</v>
      </c>
      <c r="F76" s="52">
        <f t="shared" si="38"/>
        <v>90345.459999999992</v>
      </c>
    </row>
    <row r="77" spans="1:8" s="18" customFormat="1" ht="15" x14ac:dyDescent="0.25">
      <c r="A77" s="21" t="s">
        <v>61</v>
      </c>
      <c r="B77" s="54">
        <f>SUM(B63:B76)</f>
        <v>41</v>
      </c>
      <c r="C77" s="54"/>
      <c r="D77" s="54">
        <f>SUM(D63:D76)</f>
        <v>4737932</v>
      </c>
      <c r="E77" s="54">
        <f>D77*$B$80</f>
        <v>1468758.92</v>
      </c>
      <c r="F77" s="54">
        <f t="shared" si="38"/>
        <v>6206690.9199999999</v>
      </c>
      <c r="G77" s="55"/>
      <c r="H77" s="55"/>
    </row>
    <row r="78" spans="1:8" s="18" customFormat="1" x14ac:dyDescent="0.2"/>
    <row r="79" spans="1:8" s="18" customFormat="1" ht="15" x14ac:dyDescent="0.25">
      <c r="A79" s="21" t="s">
        <v>62</v>
      </c>
      <c r="B79" s="21"/>
    </row>
    <row r="80" spans="1:8" s="18" customFormat="1" x14ac:dyDescent="0.2">
      <c r="A80" s="56" t="s">
        <v>63</v>
      </c>
      <c r="B80" s="49">
        <v>0.31</v>
      </c>
    </row>
    <row r="81" spans="1:3" s="18" customFormat="1" ht="15" x14ac:dyDescent="0.25">
      <c r="A81" s="21" t="s">
        <v>64</v>
      </c>
      <c r="B81" s="57">
        <f>SUM(B80:B80)</f>
        <v>0.31</v>
      </c>
    </row>
    <row r="82" spans="1:3" s="35" customFormat="1" ht="15" thickBot="1" x14ac:dyDescent="0.25"/>
    <row r="83" spans="1:3" ht="15" thickTop="1" x14ac:dyDescent="0.2"/>
    <row r="84" spans="1:3" ht="15" thickBot="1" x14ac:dyDescent="0.25"/>
    <row r="85" spans="1:3" s="36" customFormat="1" ht="27.75" thickTop="1" thickBot="1" x14ac:dyDescent="0.45">
      <c r="A85" s="365" t="s">
        <v>32</v>
      </c>
      <c r="B85" s="365"/>
      <c r="C85" s="366"/>
    </row>
    <row r="86" spans="1:3" s="37" customFormat="1" ht="15" thickTop="1" x14ac:dyDescent="0.2"/>
    <row r="87" spans="1:3" s="37" customFormat="1" x14ac:dyDescent="0.2"/>
    <row r="88" spans="1:3" s="37" customFormat="1" x14ac:dyDescent="0.2"/>
    <row r="89" spans="1:3" s="37" customFormat="1" x14ac:dyDescent="0.2"/>
    <row r="90" spans="1:3" s="37" customFormat="1" x14ac:dyDescent="0.2"/>
    <row r="91" spans="1:3" s="37" customFormat="1" x14ac:dyDescent="0.2"/>
    <row r="92" spans="1:3" s="37" customFormat="1" x14ac:dyDescent="0.2"/>
    <row r="93" spans="1:3" s="37" customFormat="1" x14ac:dyDescent="0.2"/>
    <row r="94" spans="1:3" s="37" customFormat="1" x14ac:dyDescent="0.2"/>
    <row r="95" spans="1:3" s="37" customFormat="1" x14ac:dyDescent="0.2"/>
    <row r="96" spans="1:3" s="37" customFormat="1" x14ac:dyDescent="0.2"/>
    <row r="97" s="37" customFormat="1" x14ac:dyDescent="0.2"/>
    <row r="98" s="37" customFormat="1" x14ac:dyDescent="0.2"/>
    <row r="99" s="37" customFormat="1" x14ac:dyDescent="0.2"/>
    <row r="100" s="37" customFormat="1" x14ac:dyDescent="0.2"/>
    <row r="101" s="37" customFormat="1" x14ac:dyDescent="0.2"/>
    <row r="102" s="37" customFormat="1" x14ac:dyDescent="0.2"/>
    <row r="103" s="37" customFormat="1" x14ac:dyDescent="0.2"/>
    <row r="104" s="37" customFormat="1" x14ac:dyDescent="0.2"/>
    <row r="105" s="37" customFormat="1" x14ac:dyDescent="0.2"/>
    <row r="106" s="37" customFormat="1" x14ac:dyDescent="0.2"/>
    <row r="107" s="37" customFormat="1" x14ac:dyDescent="0.2"/>
    <row r="108" s="37" customFormat="1" x14ac:dyDescent="0.2"/>
    <row r="109" s="37" customFormat="1" x14ac:dyDescent="0.2"/>
    <row r="110" s="37" customFormat="1" x14ac:dyDescent="0.2"/>
    <row r="111" s="37" customFormat="1" x14ac:dyDescent="0.2"/>
    <row r="112" s="37" customFormat="1" x14ac:dyDescent="0.2"/>
    <row r="113" s="37" customFormat="1" x14ac:dyDescent="0.2"/>
    <row r="114" s="37" customFormat="1" x14ac:dyDescent="0.2"/>
    <row r="115" s="37" customFormat="1" x14ac:dyDescent="0.2"/>
    <row r="116" s="37" customFormat="1" x14ac:dyDescent="0.2"/>
    <row r="117" s="37" customFormat="1" x14ac:dyDescent="0.2"/>
    <row r="118" s="37" customFormat="1" x14ac:dyDescent="0.2"/>
    <row r="119" s="37" customFormat="1" x14ac:dyDescent="0.2"/>
    <row r="120" s="38" customFormat="1" ht="15" thickBot="1" x14ac:dyDescent="0.25"/>
    <row r="121" ht="15" thickTop="1" x14ac:dyDescent="0.2"/>
  </sheetData>
  <mergeCells count="24">
    <mergeCell ref="V30:Y30"/>
    <mergeCell ref="A2:C2"/>
    <mergeCell ref="V10:Y10"/>
    <mergeCell ref="F27:I27"/>
    <mergeCell ref="J27:M27"/>
    <mergeCell ref="N27:Q27"/>
    <mergeCell ref="R27:U27"/>
    <mergeCell ref="V27:Y27"/>
    <mergeCell ref="F3:I3"/>
    <mergeCell ref="J3:M3"/>
    <mergeCell ref="N3:Q3"/>
    <mergeCell ref="R3:U3"/>
    <mergeCell ref="V3:Y3"/>
    <mergeCell ref="A85:C85"/>
    <mergeCell ref="F30:I30"/>
    <mergeCell ref="J30:M30"/>
    <mergeCell ref="N10:Q10"/>
    <mergeCell ref="R10:U10"/>
    <mergeCell ref="R30:U30"/>
    <mergeCell ref="N30:Q30"/>
    <mergeCell ref="A34:C34"/>
    <mergeCell ref="F10:I10"/>
    <mergeCell ref="J10:M10"/>
    <mergeCell ref="D37:E3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CC"/>
  </sheetPr>
  <dimension ref="A1:K206"/>
  <sheetViews>
    <sheetView topLeftCell="A67" workbookViewId="0">
      <selection activeCell="F141" sqref="F141"/>
    </sheetView>
  </sheetViews>
  <sheetFormatPr defaultRowHeight="14.25" x14ac:dyDescent="0.2"/>
  <cols>
    <col min="1" max="1" width="75.7109375" style="1" bestFit="1" customWidth="1"/>
    <col min="2" max="2" width="35.85546875" style="1" bestFit="1" customWidth="1"/>
    <col min="3" max="4" width="11.28515625" style="1" bestFit="1" customWidth="1"/>
    <col min="5" max="5" width="13.28515625" style="1" bestFit="1" customWidth="1"/>
    <col min="6" max="8" width="11.28515625" style="1" bestFit="1" customWidth="1"/>
    <col min="9" max="9" width="12.85546875" style="1" customWidth="1"/>
    <col min="10" max="10" width="13.42578125" style="1" customWidth="1"/>
    <col min="11" max="16384" width="9.140625" style="1"/>
  </cols>
  <sheetData>
    <row r="1" spans="1:9" ht="15" thickBot="1" x14ac:dyDescent="0.25"/>
    <row r="2" spans="1:9" s="2" customFormat="1" ht="27.75" thickTop="1" thickBot="1" x14ac:dyDescent="0.45">
      <c r="A2" s="362" t="s">
        <v>72</v>
      </c>
      <c r="B2" s="362"/>
      <c r="C2" s="363"/>
    </row>
    <row r="3" spans="1:9" s="3" customFormat="1" ht="15" thickTop="1" x14ac:dyDescent="0.2">
      <c r="C3" s="355" t="s">
        <v>109</v>
      </c>
      <c r="D3" s="356"/>
      <c r="E3" s="357"/>
      <c r="F3" s="355" t="s">
        <v>110</v>
      </c>
      <c r="G3" s="356"/>
      <c r="H3" s="357"/>
    </row>
    <row r="4" spans="1:9" s="3" customFormat="1" x14ac:dyDescent="0.2">
      <c r="A4" s="3" t="str">
        <f>A23</f>
        <v>Статьи инвестиций</v>
      </c>
      <c r="B4" s="3" t="str">
        <f>B23</f>
        <v>Сумма, руб.</v>
      </c>
      <c r="C4" s="7" t="str">
        <f>D155</f>
        <v>1 мес.</v>
      </c>
      <c r="D4" s="3" t="str">
        <f t="shared" ref="D4:H4" si="0">E155</f>
        <v>2 мес.</v>
      </c>
      <c r="E4" s="8" t="str">
        <f t="shared" si="0"/>
        <v>3 мес.</v>
      </c>
      <c r="F4" s="7" t="str">
        <f t="shared" si="0"/>
        <v>4 мес.</v>
      </c>
      <c r="G4" s="3" t="str">
        <f t="shared" si="0"/>
        <v>5 мес.</v>
      </c>
      <c r="H4" s="8" t="str">
        <f t="shared" si="0"/>
        <v>6 мес.</v>
      </c>
      <c r="I4" s="3" t="str">
        <f>J155</f>
        <v>Итого:</v>
      </c>
    </row>
    <row r="5" spans="1:9" s="3" customFormat="1" ht="15" x14ac:dyDescent="0.25">
      <c r="A5" s="3" t="str">
        <f t="shared" ref="A5:B15" si="1">A24</f>
        <v>Депозит по аренде цеха на 6 месяцев</v>
      </c>
      <c r="B5" s="10">
        <f t="shared" si="1"/>
        <v>3156600</v>
      </c>
      <c r="C5" s="11">
        <f t="shared" ref="C5:H15" si="2">D156</f>
        <v>1578300</v>
      </c>
      <c r="D5" s="10">
        <f t="shared" si="2"/>
        <v>1578300</v>
      </c>
      <c r="E5" s="12">
        <f t="shared" si="2"/>
        <v>0</v>
      </c>
      <c r="F5" s="11">
        <f t="shared" si="2"/>
        <v>0</v>
      </c>
      <c r="G5" s="10">
        <f t="shared" si="2"/>
        <v>0</v>
      </c>
      <c r="H5" s="12">
        <f t="shared" si="2"/>
        <v>0</v>
      </c>
      <c r="I5" s="13">
        <f t="shared" ref="I5" si="3">J156</f>
        <v>3156600</v>
      </c>
    </row>
    <row r="6" spans="1:9" s="3" customFormat="1" ht="15" x14ac:dyDescent="0.25">
      <c r="A6" s="3" t="str">
        <f t="shared" si="1"/>
        <v>Депозит по аренде офиса на 3 месяца</v>
      </c>
      <c r="B6" s="10">
        <f t="shared" si="1"/>
        <v>241857</v>
      </c>
      <c r="C6" s="11">
        <f t="shared" si="2"/>
        <v>120928.5</v>
      </c>
      <c r="D6" s="10">
        <f t="shared" si="2"/>
        <v>120928.5</v>
      </c>
      <c r="E6" s="12">
        <f t="shared" si="2"/>
        <v>0</v>
      </c>
      <c r="F6" s="11">
        <f t="shared" si="2"/>
        <v>0</v>
      </c>
      <c r="G6" s="10">
        <f t="shared" si="2"/>
        <v>0</v>
      </c>
      <c r="H6" s="12">
        <f t="shared" si="2"/>
        <v>0</v>
      </c>
      <c r="I6" s="13">
        <f t="shared" ref="I6" si="4">J157</f>
        <v>241857</v>
      </c>
    </row>
    <row r="7" spans="1:9" s="3" customFormat="1" ht="15" x14ac:dyDescent="0.25">
      <c r="A7" s="3" t="str">
        <f t="shared" si="1"/>
        <v>Расчет инвестиций в цех (оборудование, инструмент, мебель)</v>
      </c>
      <c r="B7" s="10">
        <f t="shared" si="1"/>
        <v>14954525</v>
      </c>
      <c r="C7" s="11">
        <f t="shared" si="2"/>
        <v>0</v>
      </c>
      <c r="D7" s="10">
        <f t="shared" si="2"/>
        <v>7477262.5</v>
      </c>
      <c r="E7" s="12">
        <f t="shared" si="2"/>
        <v>7477262.5</v>
      </c>
      <c r="F7" s="11">
        <f t="shared" si="2"/>
        <v>0</v>
      </c>
      <c r="G7" s="10">
        <f t="shared" si="2"/>
        <v>0</v>
      </c>
      <c r="H7" s="12">
        <f t="shared" si="2"/>
        <v>0</v>
      </c>
      <c r="I7" s="13">
        <f t="shared" ref="I7" si="5">J158</f>
        <v>14954525</v>
      </c>
    </row>
    <row r="8" spans="1:9" s="3" customFormat="1" ht="15" x14ac:dyDescent="0.25">
      <c r="A8" s="3" t="str">
        <f t="shared" si="1"/>
        <v>Покупка автотранспортных средств</v>
      </c>
      <c r="B8" s="10">
        <f t="shared" si="1"/>
        <v>13500000</v>
      </c>
      <c r="C8" s="11">
        <f t="shared" si="2"/>
        <v>0</v>
      </c>
      <c r="D8" s="10">
        <f t="shared" si="2"/>
        <v>0</v>
      </c>
      <c r="E8" s="12">
        <f t="shared" si="2"/>
        <v>6750000</v>
      </c>
      <c r="F8" s="11">
        <f t="shared" si="2"/>
        <v>6750000</v>
      </c>
      <c r="G8" s="10">
        <f t="shared" si="2"/>
        <v>0</v>
      </c>
      <c r="H8" s="12">
        <f t="shared" si="2"/>
        <v>0</v>
      </c>
      <c r="I8" s="13">
        <f t="shared" ref="I8" si="6">J159</f>
        <v>13500000</v>
      </c>
    </row>
    <row r="9" spans="1:9" s="3" customFormat="1" ht="15" x14ac:dyDescent="0.25">
      <c r="A9" s="3" t="str">
        <f t="shared" si="1"/>
        <v>Расчет инвестиций в офис (мебель и оргтехника)</v>
      </c>
      <c r="B9" s="10">
        <f t="shared" si="1"/>
        <v>447266</v>
      </c>
      <c r="C9" s="11">
        <f t="shared" si="2"/>
        <v>0</v>
      </c>
      <c r="D9" s="10">
        <f t="shared" si="2"/>
        <v>223633</v>
      </c>
      <c r="E9" s="12">
        <f t="shared" si="2"/>
        <v>223633</v>
      </c>
      <c r="F9" s="11">
        <f t="shared" si="2"/>
        <v>0</v>
      </c>
      <c r="G9" s="10">
        <f t="shared" si="2"/>
        <v>0</v>
      </c>
      <c r="H9" s="12">
        <f t="shared" si="2"/>
        <v>0</v>
      </c>
      <c r="I9" s="13">
        <f t="shared" ref="I9" si="7">J160</f>
        <v>447266</v>
      </c>
    </row>
    <row r="10" spans="1:9" s="3" customFormat="1" ht="15" x14ac:dyDescent="0.25">
      <c r="A10" s="3" t="str">
        <f t="shared" si="1"/>
        <v>Подготовительные работы</v>
      </c>
      <c r="B10" s="10">
        <f t="shared" si="1"/>
        <v>300000</v>
      </c>
      <c r="C10" s="11">
        <f t="shared" si="2"/>
        <v>0</v>
      </c>
      <c r="D10" s="10">
        <f t="shared" si="2"/>
        <v>0</v>
      </c>
      <c r="E10" s="12">
        <f t="shared" si="2"/>
        <v>150000</v>
      </c>
      <c r="F10" s="11">
        <f t="shared" si="2"/>
        <v>150000</v>
      </c>
      <c r="G10" s="10">
        <f t="shared" si="2"/>
        <v>0</v>
      </c>
      <c r="H10" s="12">
        <f t="shared" si="2"/>
        <v>0</v>
      </c>
      <c r="I10" s="13">
        <f t="shared" ref="I10" si="8">J161</f>
        <v>300000</v>
      </c>
    </row>
    <row r="11" spans="1:9" s="3" customFormat="1" ht="15" x14ac:dyDescent="0.25">
      <c r="A11" s="3" t="str">
        <f t="shared" si="1"/>
        <v>Маркетинг и реклама</v>
      </c>
      <c r="B11" s="10">
        <f t="shared" si="1"/>
        <v>300000</v>
      </c>
      <c r="C11" s="11">
        <f t="shared" si="2"/>
        <v>0</v>
      </c>
      <c r="D11" s="10">
        <f t="shared" si="2"/>
        <v>150000</v>
      </c>
      <c r="E11" s="12">
        <f t="shared" si="2"/>
        <v>150000</v>
      </c>
      <c r="F11" s="11">
        <f t="shared" si="2"/>
        <v>0</v>
      </c>
      <c r="G11" s="10">
        <f t="shared" si="2"/>
        <v>0</v>
      </c>
      <c r="H11" s="12">
        <f t="shared" si="2"/>
        <v>0</v>
      </c>
      <c r="I11" s="13">
        <f t="shared" ref="I11" si="9">J162</f>
        <v>300000</v>
      </c>
    </row>
    <row r="12" spans="1:9" s="3" customFormat="1" ht="15" x14ac:dyDescent="0.25">
      <c r="A12" s="3" t="str">
        <f t="shared" si="1"/>
        <v>Прочие, 10% от инвестиций выше</v>
      </c>
      <c r="B12" s="10">
        <f t="shared" si="1"/>
        <v>3290024.8000000003</v>
      </c>
      <c r="C12" s="11">
        <f t="shared" si="2"/>
        <v>0</v>
      </c>
      <c r="D12" s="10">
        <f t="shared" si="2"/>
        <v>1645012.4000000001</v>
      </c>
      <c r="E12" s="12">
        <f t="shared" si="2"/>
        <v>1645012.4000000001</v>
      </c>
      <c r="F12" s="11">
        <f t="shared" si="2"/>
        <v>0</v>
      </c>
      <c r="G12" s="10">
        <f t="shared" si="2"/>
        <v>0</v>
      </c>
      <c r="H12" s="12">
        <f t="shared" si="2"/>
        <v>0</v>
      </c>
      <c r="I12" s="13">
        <f t="shared" ref="I12" si="10">J163</f>
        <v>3290024.8000000003</v>
      </c>
    </row>
    <row r="13" spans="1:9" s="3" customFormat="1" ht="15" x14ac:dyDescent="0.25">
      <c r="A13" s="3" t="str">
        <f t="shared" si="1"/>
        <v>Оборотный капитал</v>
      </c>
      <c r="B13" s="10">
        <f t="shared" si="1"/>
        <v>41683189.558424994</v>
      </c>
      <c r="C13" s="11">
        <f t="shared" si="2"/>
        <v>0</v>
      </c>
      <c r="D13" s="10">
        <f t="shared" si="2"/>
        <v>0</v>
      </c>
      <c r="E13" s="12">
        <f t="shared" si="2"/>
        <v>10420797.389606249</v>
      </c>
      <c r="F13" s="11">
        <f t="shared" si="2"/>
        <v>10420797.389606249</v>
      </c>
      <c r="G13" s="10">
        <f t="shared" si="2"/>
        <v>10420797.389606249</v>
      </c>
      <c r="H13" s="12">
        <f t="shared" si="2"/>
        <v>10420797.389606249</v>
      </c>
      <c r="I13" s="13">
        <f t="shared" ref="I13" si="11">J164</f>
        <v>41683189.558424994</v>
      </c>
    </row>
    <row r="14" spans="1:9" s="3" customFormat="1" ht="15" x14ac:dyDescent="0.25">
      <c r="A14" s="3" t="str">
        <f t="shared" si="1"/>
        <v>Запас денег на покрытие кассовых разрывов</v>
      </c>
      <c r="B14" s="10">
        <f t="shared" si="1"/>
        <v>5143647.2782630194</v>
      </c>
      <c r="C14" s="11">
        <f t="shared" si="2"/>
        <v>5143647.2782630194</v>
      </c>
      <c r="D14" s="10">
        <f t="shared" si="2"/>
        <v>0</v>
      </c>
      <c r="E14" s="12">
        <f t="shared" si="2"/>
        <v>0</v>
      </c>
      <c r="F14" s="11">
        <f t="shared" si="2"/>
        <v>0</v>
      </c>
      <c r="G14" s="10">
        <f t="shared" si="2"/>
        <v>0</v>
      </c>
      <c r="H14" s="12">
        <f t="shared" si="2"/>
        <v>0</v>
      </c>
      <c r="I14" s="13">
        <f t="shared" ref="I14" si="12">J165</f>
        <v>5143647.2782630194</v>
      </c>
    </row>
    <row r="15" spans="1:9" s="3" customFormat="1" ht="15" x14ac:dyDescent="0.25">
      <c r="A15" s="9" t="s">
        <v>111</v>
      </c>
      <c r="B15" s="13">
        <f t="shared" si="1"/>
        <v>83017109.636688009</v>
      </c>
      <c r="C15" s="14">
        <f t="shared" si="2"/>
        <v>6842875.7782630194</v>
      </c>
      <c r="D15" s="13">
        <f t="shared" si="2"/>
        <v>11195136.4</v>
      </c>
      <c r="E15" s="15">
        <f t="shared" si="2"/>
        <v>26816705.289606251</v>
      </c>
      <c r="F15" s="14">
        <f t="shared" si="2"/>
        <v>17320797.389606249</v>
      </c>
      <c r="G15" s="13">
        <f t="shared" si="2"/>
        <v>10420797.389606249</v>
      </c>
      <c r="H15" s="15">
        <f t="shared" si="2"/>
        <v>10420797.389606249</v>
      </c>
      <c r="I15" s="13">
        <f t="shared" ref="I15" si="13">J166</f>
        <v>83017109.636688009</v>
      </c>
    </row>
    <row r="16" spans="1:9" s="3" customFormat="1" x14ac:dyDescent="0.2">
      <c r="C16" s="377">
        <f>SUM(C15:E15)</f>
        <v>44854717.467869267</v>
      </c>
      <c r="D16" s="356"/>
      <c r="E16" s="357"/>
      <c r="F16" s="377">
        <f>SUM(F15:H15)</f>
        <v>38162392.168818742</v>
      </c>
      <c r="G16" s="356"/>
      <c r="H16" s="357"/>
    </row>
    <row r="17" spans="1:8" s="3" customFormat="1" x14ac:dyDescent="0.2">
      <c r="A17" s="3" t="s">
        <v>112</v>
      </c>
      <c r="C17" s="92">
        <f>C15</f>
        <v>6842875.7782630194</v>
      </c>
      <c r="D17" s="92">
        <f>C17+D15</f>
        <v>18038012.17826302</v>
      </c>
      <c r="E17" s="92">
        <f t="shared" ref="E17:H17" si="14">D17+E15</f>
        <v>44854717.467869267</v>
      </c>
      <c r="F17" s="92">
        <f t="shared" si="14"/>
        <v>62175514.857475519</v>
      </c>
      <c r="G17" s="92">
        <f t="shared" si="14"/>
        <v>72596312.247081771</v>
      </c>
      <c r="H17" s="92">
        <f t="shared" si="14"/>
        <v>83017109.636688024</v>
      </c>
    </row>
    <row r="18" spans="1:8" s="41" customFormat="1" ht="15" thickBot="1" x14ac:dyDescent="0.25"/>
    <row r="19" spans="1:8" ht="15" thickTop="1" x14ac:dyDescent="0.2"/>
    <row r="20" spans="1:8" ht="15" thickBot="1" x14ac:dyDescent="0.25"/>
    <row r="21" spans="1:8" s="17" customFormat="1" ht="27.75" thickTop="1" thickBot="1" x14ac:dyDescent="0.45">
      <c r="A21" s="373" t="s">
        <v>73</v>
      </c>
      <c r="B21" s="373"/>
      <c r="C21" s="374"/>
    </row>
    <row r="22" spans="1:8" s="18" customFormat="1" ht="15" thickTop="1" x14ac:dyDescent="0.2"/>
    <row r="23" spans="1:8" s="18" customFormat="1" ht="15" x14ac:dyDescent="0.25">
      <c r="A23" s="21" t="s">
        <v>74</v>
      </c>
      <c r="B23" s="21" t="s">
        <v>75</v>
      </c>
      <c r="E23" s="116">
        <f>'Параметры Расходы'!F46</f>
        <v>690807.6114385426</v>
      </c>
      <c r="F23" s="18" t="str">
        <f>'Параметры Расходы'!G46</f>
        <v>Наличие или отсутствие кассовых разрывов</v>
      </c>
    </row>
    <row r="24" spans="1:8" s="18" customFormat="1" x14ac:dyDescent="0.2">
      <c r="A24" s="28" t="s">
        <v>415</v>
      </c>
      <c r="B24" s="93">
        <f>B43</f>
        <v>3156600</v>
      </c>
      <c r="E24" s="304">
        <f>'Параметры Расходы'!F47</f>
        <v>3.25</v>
      </c>
      <c r="F24" s="18" t="str">
        <f>'Параметры Расходы'!G47</f>
        <v>Срок окупаемости</v>
      </c>
    </row>
    <row r="25" spans="1:8" s="18" customFormat="1" x14ac:dyDescent="0.2">
      <c r="A25" s="28" t="s">
        <v>413</v>
      </c>
      <c r="B25" s="93">
        <f>B51</f>
        <v>241857</v>
      </c>
      <c r="E25" s="116">
        <f>'Параметры Расходы'!F48</f>
        <v>959396.4610064748</v>
      </c>
      <c r="F25" s="18" t="str">
        <f>'Параметры Расходы'!G48</f>
        <v>ЧДД</v>
      </c>
    </row>
    <row r="26" spans="1:8" s="18" customFormat="1" x14ac:dyDescent="0.2">
      <c r="A26" s="28" t="s">
        <v>412</v>
      </c>
      <c r="B26" s="93">
        <f>B56</f>
        <v>14954525</v>
      </c>
      <c r="E26" s="154">
        <f>'Параметры Расходы'!F49</f>
        <v>0.2</v>
      </c>
      <c r="F26" s="18" t="str">
        <f>'Параметры Расходы'!G49</f>
        <v>WACC</v>
      </c>
    </row>
    <row r="27" spans="1:8" s="18" customFormat="1" x14ac:dyDescent="0.2">
      <c r="A27" s="28" t="s">
        <v>76</v>
      </c>
      <c r="B27" s="93">
        <f>B61</f>
        <v>13500000</v>
      </c>
      <c r="E27" s="154">
        <f>'Параметры Расходы'!F50</f>
        <v>0.2051078541210396</v>
      </c>
      <c r="F27" s="18" t="str">
        <f>'Параметры Расходы'!G50</f>
        <v>ВНД</v>
      </c>
    </row>
    <row r="28" spans="1:8" s="18" customFormat="1" x14ac:dyDescent="0.2">
      <c r="A28" s="28" t="s">
        <v>417</v>
      </c>
      <c r="B28" s="93">
        <f>B67</f>
        <v>447266</v>
      </c>
      <c r="E28" s="154">
        <f>'Параметры Расходы'!F51</f>
        <v>0.70635521468244888</v>
      </c>
      <c r="F28" s="18" t="str">
        <f>'Параметры Расходы'!G51</f>
        <v>Точка безубыточности без кредита, %</v>
      </c>
    </row>
    <row r="29" spans="1:8" s="18" customFormat="1" x14ac:dyDescent="0.2">
      <c r="A29" s="28" t="s">
        <v>77</v>
      </c>
      <c r="B29" s="93">
        <f>B71</f>
        <v>300000</v>
      </c>
      <c r="E29" s="116">
        <f>'Параметры Расходы'!F52</f>
        <v>46916113.359208256</v>
      </c>
      <c r="F29" s="18" t="str">
        <f>'Параметры Расходы'!G52</f>
        <v>Точка безубыточности, в денежном выражении</v>
      </c>
    </row>
    <row r="30" spans="1:8" s="18" customFormat="1" x14ac:dyDescent="0.2">
      <c r="A30" s="28" t="s">
        <v>52</v>
      </c>
      <c r="B30" s="93">
        <f>B75</f>
        <v>300000</v>
      </c>
      <c r="E30" s="154">
        <f>'Параметры Расходы'!F53</f>
        <v>0.70635521468244888</v>
      </c>
      <c r="F30" s="18" t="str">
        <f>'Параметры Расходы'!G53</f>
        <v>Точка безубыточности с кредитом, %</v>
      </c>
    </row>
    <row r="31" spans="1:8" s="18" customFormat="1" x14ac:dyDescent="0.2">
      <c r="A31" s="28" t="s">
        <v>418</v>
      </c>
      <c r="B31" s="93">
        <f>SUM(B24:B30)*0.1</f>
        <v>3290024.8000000003</v>
      </c>
      <c r="E31" s="116">
        <f>'Параметры Расходы'!F54</f>
        <v>1</v>
      </c>
      <c r="F31" s="18" t="str">
        <f>'Параметры Расходы'!G54</f>
        <v>В каком квартале начинаем возвращать кредит</v>
      </c>
    </row>
    <row r="32" spans="1:8" s="18" customFormat="1" x14ac:dyDescent="0.2">
      <c r="A32" s="28" t="s">
        <v>78</v>
      </c>
      <c r="B32" s="93">
        <f>J82</f>
        <v>41683189.558424994</v>
      </c>
    </row>
    <row r="33" spans="1:2" s="18" customFormat="1" x14ac:dyDescent="0.2">
      <c r="A33" s="28" t="s">
        <v>184</v>
      </c>
      <c r="B33" s="93">
        <f>'Параметры финансирование'!C96</f>
        <v>5143647.2782630194</v>
      </c>
    </row>
    <row r="34" spans="1:2" s="18" customFormat="1" ht="15" x14ac:dyDescent="0.25">
      <c r="A34" s="21" t="s">
        <v>61</v>
      </c>
      <c r="B34" s="94">
        <f>SUM(B24:B33)</f>
        <v>83017109.636688009</v>
      </c>
    </row>
    <row r="35" spans="1:2" s="18" customFormat="1" x14ac:dyDescent="0.2"/>
    <row r="36" spans="1:2" s="18" customFormat="1" x14ac:dyDescent="0.2"/>
    <row r="37" spans="1:2" s="18" customFormat="1" x14ac:dyDescent="0.2"/>
    <row r="38" spans="1:2" s="18" customFormat="1" ht="15" x14ac:dyDescent="0.25">
      <c r="A38" s="21" t="s">
        <v>410</v>
      </c>
      <c r="B38" s="56"/>
    </row>
    <row r="39" spans="1:2" s="18" customFormat="1" x14ac:dyDescent="0.2">
      <c r="A39" s="56" t="s">
        <v>343</v>
      </c>
      <c r="B39" s="56" t="s">
        <v>79</v>
      </c>
    </row>
    <row r="40" spans="1:2" s="18" customFormat="1" x14ac:dyDescent="0.2">
      <c r="A40" s="56" t="s">
        <v>395</v>
      </c>
      <c r="B40" s="95">
        <v>1000</v>
      </c>
    </row>
    <row r="41" spans="1:2" s="18" customFormat="1" x14ac:dyDescent="0.2">
      <c r="A41" s="56" t="s">
        <v>397</v>
      </c>
      <c r="B41" s="95">
        <v>526.1</v>
      </c>
    </row>
    <row r="42" spans="1:2" s="18" customFormat="1" x14ac:dyDescent="0.2">
      <c r="A42" s="56" t="s">
        <v>409</v>
      </c>
      <c r="B42" s="95">
        <f>B40*B41</f>
        <v>526100</v>
      </c>
    </row>
    <row r="43" spans="1:2" s="18" customFormat="1" x14ac:dyDescent="0.2">
      <c r="A43" s="56" t="s">
        <v>416</v>
      </c>
      <c r="B43" s="93">
        <f>B40*B41*6</f>
        <v>3156600</v>
      </c>
    </row>
    <row r="44" spans="1:2" s="18" customFormat="1" x14ac:dyDescent="0.2">
      <c r="B44" s="51"/>
    </row>
    <row r="45" spans="1:2" s="18" customFormat="1" x14ac:dyDescent="0.2">
      <c r="B45" s="51"/>
    </row>
    <row r="46" spans="1:2" s="18" customFormat="1" ht="15" x14ac:dyDescent="0.25">
      <c r="A46" s="21" t="s">
        <v>411</v>
      </c>
      <c r="B46" s="56"/>
    </row>
    <row r="47" spans="1:2" s="18" customFormat="1" x14ac:dyDescent="0.2">
      <c r="A47" s="56" t="s">
        <v>343</v>
      </c>
      <c r="B47" s="56" t="s">
        <v>79</v>
      </c>
    </row>
    <row r="48" spans="1:2" s="18" customFormat="1" x14ac:dyDescent="0.2">
      <c r="A48" s="56" t="s">
        <v>395</v>
      </c>
      <c r="B48" s="95">
        <v>110</v>
      </c>
    </row>
    <row r="49" spans="1:3" s="18" customFormat="1" x14ac:dyDescent="0.2">
      <c r="A49" s="56" t="s">
        <v>397</v>
      </c>
      <c r="B49" s="95">
        <v>732.9</v>
      </c>
    </row>
    <row r="50" spans="1:3" s="18" customFormat="1" x14ac:dyDescent="0.2">
      <c r="A50" s="56" t="s">
        <v>409</v>
      </c>
      <c r="B50" s="95">
        <f>B48*B49</f>
        <v>80619</v>
      </c>
    </row>
    <row r="51" spans="1:3" s="18" customFormat="1" x14ac:dyDescent="0.2">
      <c r="A51" s="56" t="s">
        <v>414</v>
      </c>
      <c r="B51" s="93">
        <f>B48*B49*3</f>
        <v>241857</v>
      </c>
    </row>
    <row r="52" spans="1:3" s="18" customFormat="1" x14ac:dyDescent="0.2">
      <c r="B52" s="51"/>
    </row>
    <row r="53" spans="1:3" s="18" customFormat="1" x14ac:dyDescent="0.2">
      <c r="B53" s="51"/>
    </row>
    <row r="54" spans="1:3" s="18" customFormat="1" ht="15" x14ac:dyDescent="0.25">
      <c r="A54" s="21" t="s">
        <v>412</v>
      </c>
      <c r="B54" s="93"/>
    </row>
    <row r="55" spans="1:3" s="18" customFormat="1" x14ac:dyDescent="0.2">
      <c r="A55" s="56" t="s">
        <v>343</v>
      </c>
      <c r="B55" s="93" t="s">
        <v>79</v>
      </c>
    </row>
    <row r="56" spans="1:3" s="18" customFormat="1" x14ac:dyDescent="0.2">
      <c r="A56" s="56" t="s">
        <v>81</v>
      </c>
      <c r="B56" s="95">
        <v>14954525</v>
      </c>
    </row>
    <row r="57" spans="1:3" s="18" customFormat="1" x14ac:dyDescent="0.2">
      <c r="B57" s="51"/>
    </row>
    <row r="58" spans="1:3" s="18" customFormat="1" ht="15" x14ac:dyDescent="0.25">
      <c r="A58" s="21" t="s">
        <v>82</v>
      </c>
      <c r="B58" s="93"/>
    </row>
    <row r="59" spans="1:3" s="18" customFormat="1" x14ac:dyDescent="0.2">
      <c r="A59" s="56" t="s">
        <v>83</v>
      </c>
      <c r="B59" s="95">
        <v>2</v>
      </c>
    </row>
    <row r="60" spans="1:3" s="18" customFormat="1" x14ac:dyDescent="0.2">
      <c r="A60" s="56" t="s">
        <v>84</v>
      </c>
      <c r="B60" s="95">
        <v>6750000</v>
      </c>
    </row>
    <row r="61" spans="1:3" s="18" customFormat="1" x14ac:dyDescent="0.2">
      <c r="A61" s="56" t="s">
        <v>91</v>
      </c>
      <c r="B61" s="93">
        <f>B59*B60</f>
        <v>13500000</v>
      </c>
      <c r="C61" s="51"/>
    </row>
    <row r="62" spans="1:3" s="18" customFormat="1" x14ac:dyDescent="0.2">
      <c r="B62" s="51"/>
    </row>
    <row r="63" spans="1:3" s="18" customFormat="1" ht="15" x14ac:dyDescent="0.25">
      <c r="A63" s="21" t="s">
        <v>417</v>
      </c>
      <c r="B63" s="93"/>
    </row>
    <row r="64" spans="1:3" s="18" customFormat="1" x14ac:dyDescent="0.2">
      <c r="A64" s="56" t="s">
        <v>343</v>
      </c>
      <c r="B64" s="93" t="s">
        <v>79</v>
      </c>
    </row>
    <row r="65" spans="1:10" s="18" customFormat="1" x14ac:dyDescent="0.2">
      <c r="A65" s="56" t="s">
        <v>85</v>
      </c>
      <c r="B65" s="93">
        <f>B48</f>
        <v>110</v>
      </c>
    </row>
    <row r="66" spans="1:10" s="18" customFormat="1" x14ac:dyDescent="0.2">
      <c r="A66" s="56" t="s">
        <v>80</v>
      </c>
      <c r="B66" s="93">
        <f>B67/B65</f>
        <v>4066.0545454545454</v>
      </c>
    </row>
    <row r="67" spans="1:10" s="18" customFormat="1" x14ac:dyDescent="0.2">
      <c r="A67" s="56" t="s">
        <v>90</v>
      </c>
      <c r="B67" s="95">
        <v>447266</v>
      </c>
    </row>
    <row r="68" spans="1:10" s="18" customFormat="1" x14ac:dyDescent="0.2">
      <c r="B68" s="51"/>
    </row>
    <row r="69" spans="1:10" s="18" customFormat="1" x14ac:dyDescent="0.2">
      <c r="B69" s="51"/>
    </row>
    <row r="70" spans="1:10" s="18" customFormat="1" ht="15" x14ac:dyDescent="0.25">
      <c r="A70" s="96" t="s">
        <v>86</v>
      </c>
      <c r="B70" s="97"/>
    </row>
    <row r="71" spans="1:10" s="18" customFormat="1" x14ac:dyDescent="0.2">
      <c r="A71" s="98" t="s">
        <v>87</v>
      </c>
      <c r="B71" s="99">
        <v>300000</v>
      </c>
    </row>
    <row r="72" spans="1:10" s="18" customFormat="1" x14ac:dyDescent="0.2">
      <c r="B72" s="51"/>
    </row>
    <row r="73" spans="1:10" s="18" customFormat="1" x14ac:dyDescent="0.2">
      <c r="B73" s="51"/>
    </row>
    <row r="74" spans="1:10" s="18" customFormat="1" ht="15" x14ac:dyDescent="0.25">
      <c r="A74" s="21" t="s">
        <v>88</v>
      </c>
      <c r="B74" s="93"/>
    </row>
    <row r="75" spans="1:10" s="18" customFormat="1" x14ac:dyDescent="0.2">
      <c r="A75" s="56" t="s">
        <v>89</v>
      </c>
      <c r="B75" s="93">
        <f>B71</f>
        <v>300000</v>
      </c>
    </row>
    <row r="76" spans="1:10" s="18" customFormat="1" x14ac:dyDescent="0.2">
      <c r="B76" s="51"/>
    </row>
    <row r="77" spans="1:10" s="18" customFormat="1" x14ac:dyDescent="0.2"/>
    <row r="78" spans="1:10" s="18" customFormat="1" x14ac:dyDescent="0.2">
      <c r="B78" s="51"/>
    </row>
    <row r="79" spans="1:10" s="18" customFormat="1" x14ac:dyDescent="0.2">
      <c r="A79" s="18" t="s">
        <v>92</v>
      </c>
      <c r="D79" s="18" t="s">
        <v>102</v>
      </c>
      <c r="E79" s="18" t="s">
        <v>103</v>
      </c>
      <c r="F79" s="18" t="s">
        <v>104</v>
      </c>
      <c r="G79" s="18" t="s">
        <v>105</v>
      </c>
      <c r="H79" s="18" t="s">
        <v>106</v>
      </c>
      <c r="I79" s="18" t="s">
        <v>107</v>
      </c>
      <c r="J79" s="18" t="s">
        <v>61</v>
      </c>
    </row>
    <row r="80" spans="1:10" s="18" customFormat="1" x14ac:dyDescent="0.2">
      <c r="A80" s="18" t="s">
        <v>93</v>
      </c>
      <c r="D80" s="51">
        <f>D99</f>
        <v>0</v>
      </c>
      <c r="E80" s="51">
        <f t="shared" ref="E80:I80" si="15">E99</f>
        <v>0</v>
      </c>
      <c r="F80" s="51">
        <f t="shared" si="15"/>
        <v>0</v>
      </c>
      <c r="G80" s="51">
        <f t="shared" si="15"/>
        <v>5423193</v>
      </c>
      <c r="H80" s="51">
        <f t="shared" si="15"/>
        <v>5423193</v>
      </c>
      <c r="I80" s="51">
        <f t="shared" si="15"/>
        <v>5423193</v>
      </c>
      <c r="J80" s="51">
        <f>SUM(D80:I80)</f>
        <v>16269579</v>
      </c>
    </row>
    <row r="81" spans="1:10" s="18" customFormat="1" x14ac:dyDescent="0.2">
      <c r="A81" s="18" t="s">
        <v>94</v>
      </c>
      <c r="D81" s="51">
        <f>D133</f>
        <v>0</v>
      </c>
      <c r="E81" s="51">
        <f t="shared" ref="E81:I81" si="16">E133</f>
        <v>2205291.5398875</v>
      </c>
      <c r="F81" s="51">
        <f t="shared" si="16"/>
        <v>3803864.0797749995</v>
      </c>
      <c r="G81" s="51">
        <f t="shared" si="16"/>
        <v>5402436.6196624991</v>
      </c>
      <c r="H81" s="51">
        <f t="shared" si="16"/>
        <v>7001009.1595499991</v>
      </c>
      <c r="I81" s="51">
        <f t="shared" si="16"/>
        <v>7001009.1595499991</v>
      </c>
      <c r="J81" s="51">
        <f t="shared" ref="J81" si="17">SUM(D81:I81)</f>
        <v>25413610.558424998</v>
      </c>
    </row>
    <row r="82" spans="1:10" s="18" customFormat="1" x14ac:dyDescent="0.2">
      <c r="A82" s="18" t="s">
        <v>61</v>
      </c>
      <c r="D82" s="51">
        <f>SUM(D80:D81)</f>
        <v>0</v>
      </c>
      <c r="E82" s="51">
        <f t="shared" ref="E82:J82" si="18">SUM(E80:E81)</f>
        <v>2205291.5398875</v>
      </c>
      <c r="F82" s="51">
        <f t="shared" si="18"/>
        <v>3803864.0797749995</v>
      </c>
      <c r="G82" s="51">
        <f t="shared" si="18"/>
        <v>10825629.619662499</v>
      </c>
      <c r="H82" s="51">
        <f t="shared" si="18"/>
        <v>12424202.15955</v>
      </c>
      <c r="I82" s="51">
        <f t="shared" si="18"/>
        <v>12424202.15955</v>
      </c>
      <c r="J82" s="51">
        <f t="shared" si="18"/>
        <v>41683189.558424994</v>
      </c>
    </row>
    <row r="83" spans="1:10" s="18" customFormat="1" x14ac:dyDescent="0.2"/>
    <row r="84" spans="1:10" s="18" customFormat="1" x14ac:dyDescent="0.2"/>
    <row r="85" spans="1:10" s="18" customFormat="1" x14ac:dyDescent="0.2"/>
    <row r="86" spans="1:10" s="18" customFormat="1" x14ac:dyDescent="0.2">
      <c r="A86" s="18" t="s">
        <v>93</v>
      </c>
    </row>
    <row r="87" spans="1:10" s="18" customFormat="1" x14ac:dyDescent="0.2">
      <c r="B87" s="18" t="s">
        <v>95</v>
      </c>
      <c r="D87" s="367" t="s">
        <v>96</v>
      </c>
      <c r="E87" s="367"/>
      <c r="F87" s="367"/>
      <c r="G87" s="367"/>
      <c r="H87" s="367"/>
      <c r="I87" s="367"/>
    </row>
    <row r="88" spans="1:10" s="18" customFormat="1" x14ac:dyDescent="0.2">
      <c r="A88" s="18" t="s">
        <v>2</v>
      </c>
      <c r="D88" s="18" t="s">
        <v>102</v>
      </c>
      <c r="E88" s="18" t="s">
        <v>103</v>
      </c>
      <c r="F88" s="18" t="s">
        <v>104</v>
      </c>
      <c r="G88" s="18" t="s">
        <v>105</v>
      </c>
      <c r="H88" s="18" t="s">
        <v>106</v>
      </c>
      <c r="I88" s="18" t="s">
        <v>107</v>
      </c>
    </row>
    <row r="89" spans="1:10" s="18" customFormat="1" x14ac:dyDescent="0.2">
      <c r="A89" s="18" t="str">
        <f>'Параметры Доходы'!A15</f>
        <v>Печь "ХЛЕБОПЕЧКА"</v>
      </c>
      <c r="B89" s="32">
        <f>'Параметры Расходы'!C38</f>
        <v>0.4899</v>
      </c>
      <c r="D89" s="27">
        <v>0</v>
      </c>
      <c r="E89" s="27">
        <v>0</v>
      </c>
      <c r="F89" s="27">
        <v>0</v>
      </c>
      <c r="G89" s="27">
        <v>0.5</v>
      </c>
      <c r="H89" s="27">
        <v>0.5</v>
      </c>
      <c r="I89" s="27">
        <v>0.5</v>
      </c>
    </row>
    <row r="90" spans="1:10" s="18" customFormat="1" hidden="1" x14ac:dyDescent="0.2">
      <c r="A90" s="18">
        <f>'Параметры Доходы'!A16</f>
        <v>0</v>
      </c>
      <c r="B90" s="32">
        <f>'Параметры Расходы'!C39</f>
        <v>0</v>
      </c>
      <c r="D90" s="27"/>
      <c r="E90" s="27"/>
      <c r="F90" s="27"/>
      <c r="G90" s="27"/>
      <c r="H90" s="27"/>
      <c r="I90" s="27"/>
    </row>
    <row r="91" spans="1:10" s="18" customFormat="1" hidden="1" x14ac:dyDescent="0.2">
      <c r="A91" s="18">
        <f>'Параметры Доходы'!A17</f>
        <v>0</v>
      </c>
      <c r="B91" s="32">
        <f>'Параметры Расходы'!C40</f>
        <v>0</v>
      </c>
      <c r="D91" s="27"/>
      <c r="E91" s="27"/>
      <c r="F91" s="27"/>
      <c r="G91" s="27"/>
      <c r="H91" s="27"/>
      <c r="I91" s="27"/>
    </row>
    <row r="92" spans="1:10" s="18" customFormat="1" x14ac:dyDescent="0.2">
      <c r="A92" s="18" t="s">
        <v>33</v>
      </c>
      <c r="D92" s="32">
        <f>AVERAGE(D89:D91)</f>
        <v>0</v>
      </c>
      <c r="E92" s="32">
        <f t="shared" ref="E92:I92" si="19">AVERAGE(E89:E91)</f>
        <v>0</v>
      </c>
      <c r="F92" s="32">
        <f t="shared" si="19"/>
        <v>0</v>
      </c>
      <c r="G92" s="32">
        <f t="shared" si="19"/>
        <v>0.5</v>
      </c>
      <c r="H92" s="32">
        <f t="shared" si="19"/>
        <v>0.5</v>
      </c>
      <c r="I92" s="32">
        <f t="shared" si="19"/>
        <v>0.5</v>
      </c>
    </row>
    <row r="93" spans="1:10" s="18" customFormat="1" x14ac:dyDescent="0.2"/>
    <row r="94" spans="1:10" s="18" customFormat="1" x14ac:dyDescent="0.2"/>
    <row r="95" spans="1:10" s="18" customFormat="1" x14ac:dyDescent="0.2">
      <c r="A95" s="18" t="s">
        <v>2</v>
      </c>
      <c r="B95" s="18" t="s">
        <v>97</v>
      </c>
      <c r="D95" s="18" t="s">
        <v>102</v>
      </c>
      <c r="E95" s="18" t="s">
        <v>103</v>
      </c>
      <c r="F95" s="18" t="s">
        <v>104</v>
      </c>
      <c r="G95" s="18" t="s">
        <v>105</v>
      </c>
      <c r="H95" s="18" t="s">
        <v>106</v>
      </c>
      <c r="I95" s="18" t="s">
        <v>107</v>
      </c>
    </row>
    <row r="96" spans="1:10" s="18" customFormat="1" x14ac:dyDescent="0.2">
      <c r="A96" s="18" t="str">
        <f>A89</f>
        <v>Печь "ХЛЕБОПЕЧКА"</v>
      </c>
      <c r="B96" s="51">
        <f>'Параметры Доходы'!D5*'Параметры инвестиции'!B89</f>
        <v>10846386</v>
      </c>
      <c r="D96" s="51">
        <f>$B96*D89</f>
        <v>0</v>
      </c>
      <c r="E96" s="51">
        <f t="shared" ref="E96:I96" si="20">$B96*E89</f>
        <v>0</v>
      </c>
      <c r="F96" s="51">
        <f t="shared" si="20"/>
        <v>0</v>
      </c>
      <c r="G96" s="51">
        <f t="shared" si="20"/>
        <v>5423193</v>
      </c>
      <c r="H96" s="51">
        <f t="shared" si="20"/>
        <v>5423193</v>
      </c>
      <c r="I96" s="51">
        <f t="shared" si="20"/>
        <v>5423193</v>
      </c>
    </row>
    <row r="97" spans="1:9" s="18" customFormat="1" hidden="1" x14ac:dyDescent="0.2">
      <c r="A97" s="18">
        <f t="shared" ref="A97:A98" si="21">A90</f>
        <v>0</v>
      </c>
      <c r="B97" s="51">
        <f>'Параметры Доходы'!D6*'Параметры инвестиции'!B90</f>
        <v>0</v>
      </c>
      <c r="D97" s="51">
        <f t="shared" ref="D97:I97" si="22">$B97*D90</f>
        <v>0</v>
      </c>
      <c r="E97" s="51">
        <f t="shared" si="22"/>
        <v>0</v>
      </c>
      <c r="F97" s="51">
        <f t="shared" si="22"/>
        <v>0</v>
      </c>
      <c r="G97" s="51">
        <f t="shared" si="22"/>
        <v>0</v>
      </c>
      <c r="H97" s="51">
        <f t="shared" si="22"/>
        <v>0</v>
      </c>
      <c r="I97" s="51">
        <f t="shared" si="22"/>
        <v>0</v>
      </c>
    </row>
    <row r="98" spans="1:9" s="18" customFormat="1" hidden="1" x14ac:dyDescent="0.2">
      <c r="A98" s="18">
        <f t="shared" si="21"/>
        <v>0</v>
      </c>
      <c r="B98" s="51">
        <f>'Параметры Доходы'!D7*'Параметры инвестиции'!B91</f>
        <v>0</v>
      </c>
      <c r="D98" s="51">
        <f t="shared" ref="D98:I98" si="23">$B98*D91</f>
        <v>0</v>
      </c>
      <c r="E98" s="51">
        <f t="shared" si="23"/>
        <v>0</v>
      </c>
      <c r="F98" s="51">
        <f t="shared" si="23"/>
        <v>0</v>
      </c>
      <c r="G98" s="51">
        <f t="shared" si="23"/>
        <v>0</v>
      </c>
      <c r="H98" s="51">
        <f t="shared" si="23"/>
        <v>0</v>
      </c>
      <c r="I98" s="51">
        <f t="shared" si="23"/>
        <v>0</v>
      </c>
    </row>
    <row r="99" spans="1:9" s="18" customFormat="1" x14ac:dyDescent="0.2">
      <c r="A99" s="18" t="s">
        <v>61</v>
      </c>
      <c r="B99" s="51">
        <f>SUM(B96:B98)</f>
        <v>10846386</v>
      </c>
      <c r="D99" s="51">
        <f>SUM(D96:D98)</f>
        <v>0</v>
      </c>
      <c r="E99" s="51">
        <f t="shared" ref="E99:I99" si="24">SUM(E96:E98)</f>
        <v>0</v>
      </c>
      <c r="F99" s="51">
        <f t="shared" si="24"/>
        <v>0</v>
      </c>
      <c r="G99" s="51">
        <f t="shared" si="24"/>
        <v>5423193</v>
      </c>
      <c r="H99" s="51">
        <f t="shared" si="24"/>
        <v>5423193</v>
      </c>
      <c r="I99" s="51">
        <f t="shared" si="24"/>
        <v>5423193</v>
      </c>
    </row>
    <row r="100" spans="1:9" s="18" customFormat="1" x14ac:dyDescent="0.2">
      <c r="B100" s="51"/>
    </row>
    <row r="101" spans="1:9" s="18" customFormat="1" x14ac:dyDescent="0.2">
      <c r="A101" s="18" t="s">
        <v>94</v>
      </c>
    </row>
    <row r="102" spans="1:9" s="18" customFormat="1" x14ac:dyDescent="0.2">
      <c r="D102" s="367" t="s">
        <v>98</v>
      </c>
      <c r="E102" s="367"/>
      <c r="F102" s="367"/>
      <c r="G102" s="367"/>
      <c r="H102" s="367"/>
      <c r="I102" s="367"/>
    </row>
    <row r="103" spans="1:9" s="18" customFormat="1" x14ac:dyDescent="0.2">
      <c r="A103" s="18" t="s">
        <v>99</v>
      </c>
      <c r="D103" s="18" t="s">
        <v>102</v>
      </c>
      <c r="E103" s="18" t="s">
        <v>103</v>
      </c>
      <c r="F103" s="18" t="s">
        <v>104</v>
      </c>
      <c r="G103" s="18" t="s">
        <v>105</v>
      </c>
      <c r="H103" s="18" t="s">
        <v>106</v>
      </c>
      <c r="I103" s="18" t="s">
        <v>107</v>
      </c>
    </row>
    <row r="104" spans="1:9" s="18" customFormat="1" x14ac:dyDescent="0.2">
      <c r="A104" s="18" t="str">
        <f>'Параметры Расходы'!A45</f>
        <v>Заработная плата</v>
      </c>
      <c r="B104" s="51">
        <f>'Параметры Расходы'!C45</f>
        <v>6206690.9199999999</v>
      </c>
      <c r="D104" s="27">
        <v>0</v>
      </c>
      <c r="E104" s="27">
        <v>0.25</v>
      </c>
      <c r="F104" s="27">
        <v>0.5</v>
      </c>
      <c r="G104" s="27">
        <v>0.75</v>
      </c>
      <c r="H104" s="27">
        <v>1</v>
      </c>
      <c r="I104" s="27">
        <v>1</v>
      </c>
    </row>
    <row r="105" spans="1:9" s="18" customFormat="1" x14ac:dyDescent="0.2">
      <c r="A105" s="18" t="str">
        <f>'Параметры Расходы'!A46</f>
        <v>Аренда</v>
      </c>
      <c r="B105" s="51">
        <f>'Параметры Расходы'!C46</f>
        <v>606719</v>
      </c>
      <c r="D105" s="27">
        <v>0</v>
      </c>
      <c r="E105" s="27">
        <v>1</v>
      </c>
      <c r="F105" s="27">
        <v>1</v>
      </c>
      <c r="G105" s="27">
        <v>1</v>
      </c>
      <c r="H105" s="27">
        <v>1</v>
      </c>
      <c r="I105" s="27">
        <v>1</v>
      </c>
    </row>
    <row r="106" spans="1:9" s="18" customFormat="1" x14ac:dyDescent="0.2">
      <c r="A106" s="18" t="str">
        <f>'Параметры Расходы'!A47</f>
        <v>Энергия</v>
      </c>
      <c r="B106" s="51">
        <f>'Параметры Расходы'!C47</f>
        <v>37527.46</v>
      </c>
      <c r="D106" s="27">
        <v>0</v>
      </c>
      <c r="E106" s="27">
        <v>0.25</v>
      </c>
      <c r="F106" s="27">
        <v>0.5</v>
      </c>
      <c r="G106" s="27">
        <v>0.75</v>
      </c>
      <c r="H106" s="27">
        <v>1</v>
      </c>
      <c r="I106" s="27">
        <v>1</v>
      </c>
    </row>
    <row r="107" spans="1:9" s="18" customFormat="1" x14ac:dyDescent="0.2">
      <c r="A107" s="18" t="str">
        <f>'Параметры Расходы'!A48</f>
        <v>Вода</v>
      </c>
      <c r="B107" s="51">
        <f>'Параметры Расходы'!C48</f>
        <v>452.01</v>
      </c>
      <c r="D107" s="27">
        <v>0</v>
      </c>
      <c r="E107" s="27">
        <v>0.25</v>
      </c>
      <c r="F107" s="27">
        <v>0.5</v>
      </c>
      <c r="G107" s="27">
        <v>0.75</v>
      </c>
      <c r="H107" s="27">
        <v>1</v>
      </c>
      <c r="I107" s="27">
        <v>1</v>
      </c>
    </row>
    <row r="108" spans="1:9" s="18" customFormat="1" x14ac:dyDescent="0.2">
      <c r="A108" s="18" t="str">
        <f>'Параметры Расходы'!A49</f>
        <v>Вывоз ТБО</v>
      </c>
      <c r="B108" s="51">
        <f>'Параметры Расходы'!C49</f>
        <v>1156.58</v>
      </c>
      <c r="D108" s="27">
        <v>0</v>
      </c>
      <c r="E108" s="27">
        <v>0.25</v>
      </c>
      <c r="F108" s="27">
        <v>0.5</v>
      </c>
      <c r="G108" s="27">
        <v>0.75</v>
      </c>
      <c r="H108" s="27">
        <v>1</v>
      </c>
      <c r="I108" s="27">
        <v>1</v>
      </c>
    </row>
    <row r="109" spans="1:9" s="18" customFormat="1" x14ac:dyDescent="0.2">
      <c r="A109" s="18" t="str">
        <f>'Параметры Расходы'!A50</f>
        <v>Хозяйственные расходы</v>
      </c>
      <c r="B109" s="51">
        <f>'Параметры Расходы'!C50</f>
        <v>9000</v>
      </c>
      <c r="D109" s="27">
        <v>0</v>
      </c>
      <c r="E109" s="27">
        <v>0.25</v>
      </c>
      <c r="F109" s="27">
        <v>0.5</v>
      </c>
      <c r="G109" s="27">
        <v>0.75</v>
      </c>
      <c r="H109" s="27">
        <v>1</v>
      </c>
      <c r="I109" s="27">
        <v>1</v>
      </c>
    </row>
    <row r="110" spans="1:9" s="18" customFormat="1" x14ac:dyDescent="0.2">
      <c r="A110" s="18" t="str">
        <f>'Параметры Расходы'!A51</f>
        <v>Канцелярские расходы</v>
      </c>
      <c r="B110" s="51">
        <f>'Параметры Расходы'!C51</f>
        <v>9000</v>
      </c>
      <c r="D110" s="27">
        <v>0</v>
      </c>
      <c r="E110" s="27">
        <v>0.25</v>
      </c>
      <c r="F110" s="27">
        <v>0.5</v>
      </c>
      <c r="G110" s="27">
        <v>0.75</v>
      </c>
      <c r="H110" s="27">
        <v>1</v>
      </c>
      <c r="I110" s="27">
        <v>1</v>
      </c>
    </row>
    <row r="111" spans="1:9" s="18" customFormat="1" x14ac:dyDescent="0.2">
      <c r="A111" s="18" t="str">
        <f>'Параметры Расходы'!A52</f>
        <v>Интернет</v>
      </c>
      <c r="B111" s="51">
        <f>'Параметры Расходы'!C52</f>
        <v>9000</v>
      </c>
      <c r="D111" s="27">
        <v>0</v>
      </c>
      <c r="E111" s="27">
        <v>0.25</v>
      </c>
      <c r="F111" s="27">
        <v>0.5</v>
      </c>
      <c r="G111" s="27">
        <v>0.75</v>
      </c>
      <c r="H111" s="27">
        <v>1</v>
      </c>
      <c r="I111" s="27">
        <v>1</v>
      </c>
    </row>
    <row r="112" spans="1:9" s="18" customFormat="1" x14ac:dyDescent="0.2">
      <c r="A112" s="18" t="str">
        <f>'Параметры Расходы'!A53</f>
        <v>Телефон</v>
      </c>
      <c r="B112" s="51">
        <f>'Параметры Расходы'!C53</f>
        <v>9000</v>
      </c>
      <c r="D112" s="27">
        <v>0</v>
      </c>
      <c r="E112" s="27">
        <v>0.25</v>
      </c>
      <c r="F112" s="27">
        <v>0.5</v>
      </c>
      <c r="G112" s="27">
        <v>0.75</v>
      </c>
      <c r="H112" s="27">
        <v>1</v>
      </c>
      <c r="I112" s="27">
        <v>1</v>
      </c>
    </row>
    <row r="113" spans="1:11" s="18" customFormat="1" x14ac:dyDescent="0.2">
      <c r="A113" s="18" t="str">
        <f>'Параметры Расходы'!A54</f>
        <v>Программное обеспечение</v>
      </c>
      <c r="B113" s="51">
        <f>'Параметры Расходы'!C54</f>
        <v>9000</v>
      </c>
      <c r="D113" s="27">
        <v>0</v>
      </c>
      <c r="E113" s="27">
        <v>0.25</v>
      </c>
      <c r="F113" s="27">
        <v>0.5</v>
      </c>
      <c r="G113" s="27">
        <v>0.75</v>
      </c>
      <c r="H113" s="27">
        <v>1</v>
      </c>
      <c r="I113" s="27">
        <v>1</v>
      </c>
    </row>
    <row r="114" spans="1:11" s="18" customFormat="1" x14ac:dyDescent="0.2">
      <c r="A114" s="18" t="str">
        <f>'Параметры Расходы'!A55</f>
        <v>Маркетинг и реклама</v>
      </c>
      <c r="B114" s="51">
        <f>'Параметры Расходы'!C55</f>
        <v>68975.459699999992</v>
      </c>
      <c r="D114" s="27">
        <v>0</v>
      </c>
      <c r="E114" s="27">
        <v>0.25</v>
      </c>
      <c r="F114" s="27">
        <v>0.5</v>
      </c>
      <c r="G114" s="27">
        <v>0.75</v>
      </c>
      <c r="H114" s="27">
        <v>1</v>
      </c>
      <c r="I114" s="27">
        <v>1</v>
      </c>
    </row>
    <row r="115" spans="1:11" s="18" customFormat="1" x14ac:dyDescent="0.2">
      <c r="A115" s="18" t="str">
        <f>'Параметры Расходы'!A56</f>
        <v>Прочие расходы</v>
      </c>
      <c r="B115" s="51">
        <f>'Параметры Расходы'!C56</f>
        <v>34487.729849999996</v>
      </c>
      <c r="D115" s="27">
        <v>0</v>
      </c>
      <c r="E115" s="27">
        <v>0.25</v>
      </c>
      <c r="F115" s="27">
        <v>0.5</v>
      </c>
      <c r="G115" s="27">
        <v>0.75</v>
      </c>
      <c r="H115" s="27">
        <v>1</v>
      </c>
      <c r="I115" s="27">
        <v>1</v>
      </c>
    </row>
    <row r="116" spans="1:11" s="18" customFormat="1" x14ac:dyDescent="0.2">
      <c r="A116" s="18" t="s">
        <v>33</v>
      </c>
      <c r="D116" s="32">
        <f>AVERAGE(D104:D115)</f>
        <v>0</v>
      </c>
      <c r="E116" s="32">
        <f t="shared" ref="E116:I116" si="25">AVERAGE(E104:E115)</f>
        <v>0.3125</v>
      </c>
      <c r="F116" s="32">
        <f t="shared" si="25"/>
        <v>0.54166666666666663</v>
      </c>
      <c r="G116" s="32">
        <f t="shared" si="25"/>
        <v>0.77083333333333337</v>
      </c>
      <c r="H116" s="32">
        <f t="shared" si="25"/>
        <v>1</v>
      </c>
      <c r="I116" s="32">
        <f t="shared" si="25"/>
        <v>1</v>
      </c>
      <c r="K116" s="32"/>
    </row>
    <row r="117" spans="1:11" s="18" customFormat="1" x14ac:dyDescent="0.2"/>
    <row r="118" spans="1:11" s="18" customFormat="1" x14ac:dyDescent="0.2"/>
    <row r="119" spans="1:11" s="18" customFormat="1" x14ac:dyDescent="0.2"/>
    <row r="120" spans="1:11" s="18" customFormat="1" x14ac:dyDescent="0.2">
      <c r="A120" s="18" t="s">
        <v>99</v>
      </c>
      <c r="D120" s="18" t="s">
        <v>102</v>
      </c>
      <c r="E120" s="18" t="s">
        <v>103</v>
      </c>
      <c r="F120" s="18" t="s">
        <v>104</v>
      </c>
      <c r="G120" s="18" t="s">
        <v>105</v>
      </c>
      <c r="H120" s="18" t="s">
        <v>106</v>
      </c>
      <c r="I120" s="18" t="s">
        <v>107</v>
      </c>
    </row>
    <row r="121" spans="1:11" s="18" customFormat="1" x14ac:dyDescent="0.2">
      <c r="A121" s="18" t="str">
        <f>A104</f>
        <v>Заработная плата</v>
      </c>
      <c r="B121" s="51">
        <f>B104</f>
        <v>6206690.9199999999</v>
      </c>
      <c r="D121" s="51">
        <f>D104*$B121</f>
        <v>0</v>
      </c>
      <c r="E121" s="51">
        <f t="shared" ref="E121:H121" si="26">E104*$B121</f>
        <v>1551672.73</v>
      </c>
      <c r="F121" s="51">
        <f t="shared" si="26"/>
        <v>3103345.46</v>
      </c>
      <c r="G121" s="51">
        <f t="shared" si="26"/>
        <v>4655018.1899999995</v>
      </c>
      <c r="H121" s="51">
        <f t="shared" si="26"/>
        <v>6206690.9199999999</v>
      </c>
      <c r="I121" s="51">
        <f t="shared" ref="I121" si="27">I104*$B121</f>
        <v>6206690.9199999999</v>
      </c>
    </row>
    <row r="122" spans="1:11" s="18" customFormat="1" x14ac:dyDescent="0.2">
      <c r="A122" s="18" t="str">
        <f t="shared" ref="A122:A132" si="28">A105</f>
        <v>Аренда</v>
      </c>
      <c r="B122" s="51">
        <f t="shared" ref="B122:B132" si="29">B105</f>
        <v>606719</v>
      </c>
      <c r="D122" s="51">
        <f t="shared" ref="D122:H122" si="30">D105*$B122</f>
        <v>0</v>
      </c>
      <c r="E122" s="51">
        <f t="shared" si="30"/>
        <v>606719</v>
      </c>
      <c r="F122" s="51">
        <f t="shared" si="30"/>
        <v>606719</v>
      </c>
      <c r="G122" s="51">
        <f t="shared" si="30"/>
        <v>606719</v>
      </c>
      <c r="H122" s="51">
        <f t="shared" si="30"/>
        <v>606719</v>
      </c>
      <c r="I122" s="51">
        <f t="shared" ref="I122" si="31">I105*$B122</f>
        <v>606719</v>
      </c>
    </row>
    <row r="123" spans="1:11" s="18" customFormat="1" x14ac:dyDescent="0.2">
      <c r="A123" s="18" t="str">
        <f t="shared" si="28"/>
        <v>Энергия</v>
      </c>
      <c r="B123" s="51">
        <f t="shared" si="29"/>
        <v>37527.46</v>
      </c>
      <c r="D123" s="51">
        <f t="shared" ref="D123:H123" si="32">D106*$B123</f>
        <v>0</v>
      </c>
      <c r="E123" s="51">
        <f t="shared" si="32"/>
        <v>9381.8649999999998</v>
      </c>
      <c r="F123" s="51">
        <f t="shared" si="32"/>
        <v>18763.73</v>
      </c>
      <c r="G123" s="51">
        <f t="shared" si="32"/>
        <v>28145.595000000001</v>
      </c>
      <c r="H123" s="51">
        <f t="shared" si="32"/>
        <v>37527.46</v>
      </c>
      <c r="I123" s="51">
        <f t="shared" ref="I123" si="33">I106*$B123</f>
        <v>37527.46</v>
      </c>
    </row>
    <row r="124" spans="1:11" s="18" customFormat="1" x14ac:dyDescent="0.2">
      <c r="A124" s="18" t="str">
        <f t="shared" si="28"/>
        <v>Вода</v>
      </c>
      <c r="B124" s="51">
        <f t="shared" si="29"/>
        <v>452.01</v>
      </c>
      <c r="D124" s="51">
        <f t="shared" ref="D124:H124" si="34">D107*$B124</f>
        <v>0</v>
      </c>
      <c r="E124" s="51">
        <f t="shared" si="34"/>
        <v>113.0025</v>
      </c>
      <c r="F124" s="51">
        <f t="shared" si="34"/>
        <v>226.005</v>
      </c>
      <c r="G124" s="51">
        <f t="shared" si="34"/>
        <v>339.00749999999999</v>
      </c>
      <c r="H124" s="51">
        <f t="shared" si="34"/>
        <v>452.01</v>
      </c>
      <c r="I124" s="51">
        <f t="shared" ref="I124" si="35">I107*$B124</f>
        <v>452.01</v>
      </c>
    </row>
    <row r="125" spans="1:11" s="18" customFormat="1" x14ac:dyDescent="0.2">
      <c r="A125" s="18" t="str">
        <f t="shared" si="28"/>
        <v>Вывоз ТБО</v>
      </c>
      <c r="B125" s="51">
        <f t="shared" si="29"/>
        <v>1156.58</v>
      </c>
      <c r="D125" s="51">
        <f t="shared" ref="D125:H125" si="36">D108*$B125</f>
        <v>0</v>
      </c>
      <c r="E125" s="51">
        <f t="shared" si="36"/>
        <v>289.14499999999998</v>
      </c>
      <c r="F125" s="51">
        <f t="shared" si="36"/>
        <v>578.29</v>
      </c>
      <c r="G125" s="51">
        <f t="shared" si="36"/>
        <v>867.43499999999995</v>
      </c>
      <c r="H125" s="51">
        <f t="shared" si="36"/>
        <v>1156.58</v>
      </c>
      <c r="I125" s="51">
        <f t="shared" ref="I125" si="37">I108*$B125</f>
        <v>1156.58</v>
      </c>
    </row>
    <row r="126" spans="1:11" s="18" customFormat="1" x14ac:dyDescent="0.2">
      <c r="A126" s="18" t="str">
        <f t="shared" si="28"/>
        <v>Хозяйственные расходы</v>
      </c>
      <c r="B126" s="51">
        <f t="shared" si="29"/>
        <v>9000</v>
      </c>
      <c r="D126" s="51">
        <f t="shared" ref="D126:H126" si="38">D109*$B126</f>
        <v>0</v>
      </c>
      <c r="E126" s="51">
        <f t="shared" si="38"/>
        <v>2250</v>
      </c>
      <c r="F126" s="51">
        <f t="shared" si="38"/>
        <v>4500</v>
      </c>
      <c r="G126" s="51">
        <f t="shared" si="38"/>
        <v>6750</v>
      </c>
      <c r="H126" s="51">
        <f t="shared" si="38"/>
        <v>9000</v>
      </c>
      <c r="I126" s="51">
        <f t="shared" ref="I126" si="39">I109*$B126</f>
        <v>9000</v>
      </c>
    </row>
    <row r="127" spans="1:11" s="18" customFormat="1" x14ac:dyDescent="0.2">
      <c r="A127" s="18" t="str">
        <f t="shared" si="28"/>
        <v>Канцелярские расходы</v>
      </c>
      <c r="B127" s="51">
        <f t="shared" si="29"/>
        <v>9000</v>
      </c>
      <c r="D127" s="51">
        <f t="shared" ref="D127:H127" si="40">D110*$B127</f>
        <v>0</v>
      </c>
      <c r="E127" s="51">
        <f t="shared" si="40"/>
        <v>2250</v>
      </c>
      <c r="F127" s="51">
        <f t="shared" si="40"/>
        <v>4500</v>
      </c>
      <c r="G127" s="51">
        <f t="shared" si="40"/>
        <v>6750</v>
      </c>
      <c r="H127" s="51">
        <f t="shared" si="40"/>
        <v>9000</v>
      </c>
      <c r="I127" s="51">
        <f t="shared" ref="I127" si="41">I110*$B127</f>
        <v>9000</v>
      </c>
    </row>
    <row r="128" spans="1:11" s="18" customFormat="1" x14ac:dyDescent="0.2">
      <c r="A128" s="18" t="str">
        <f t="shared" si="28"/>
        <v>Интернет</v>
      </c>
      <c r="B128" s="51">
        <f t="shared" si="29"/>
        <v>9000</v>
      </c>
      <c r="D128" s="51">
        <f t="shared" ref="D128:H128" si="42">D111*$B128</f>
        <v>0</v>
      </c>
      <c r="E128" s="51">
        <f t="shared" si="42"/>
        <v>2250</v>
      </c>
      <c r="F128" s="51">
        <f t="shared" si="42"/>
        <v>4500</v>
      </c>
      <c r="G128" s="51">
        <f t="shared" si="42"/>
        <v>6750</v>
      </c>
      <c r="H128" s="51">
        <f t="shared" si="42"/>
        <v>9000</v>
      </c>
      <c r="I128" s="51">
        <f t="shared" ref="I128" si="43">I111*$B128</f>
        <v>9000</v>
      </c>
    </row>
    <row r="129" spans="1:10" s="18" customFormat="1" x14ac:dyDescent="0.2">
      <c r="A129" s="18" t="str">
        <f t="shared" si="28"/>
        <v>Телефон</v>
      </c>
      <c r="B129" s="51">
        <f t="shared" si="29"/>
        <v>9000</v>
      </c>
      <c r="D129" s="51">
        <f t="shared" ref="D129:H129" si="44">D112*$B129</f>
        <v>0</v>
      </c>
      <c r="E129" s="51">
        <f t="shared" si="44"/>
        <v>2250</v>
      </c>
      <c r="F129" s="51">
        <f t="shared" si="44"/>
        <v>4500</v>
      </c>
      <c r="G129" s="51">
        <f t="shared" si="44"/>
        <v>6750</v>
      </c>
      <c r="H129" s="51">
        <f t="shared" si="44"/>
        <v>9000</v>
      </c>
      <c r="I129" s="51">
        <f t="shared" ref="I129" si="45">I112*$B129</f>
        <v>9000</v>
      </c>
    </row>
    <row r="130" spans="1:10" s="18" customFormat="1" x14ac:dyDescent="0.2">
      <c r="A130" s="18" t="str">
        <f t="shared" si="28"/>
        <v>Программное обеспечение</v>
      </c>
      <c r="B130" s="51">
        <f t="shared" si="29"/>
        <v>9000</v>
      </c>
      <c r="D130" s="51">
        <f t="shared" ref="D130:H130" si="46">D113*$B130</f>
        <v>0</v>
      </c>
      <c r="E130" s="51">
        <f t="shared" si="46"/>
        <v>2250</v>
      </c>
      <c r="F130" s="51">
        <f t="shared" si="46"/>
        <v>4500</v>
      </c>
      <c r="G130" s="51">
        <f t="shared" si="46"/>
        <v>6750</v>
      </c>
      <c r="H130" s="51">
        <f t="shared" si="46"/>
        <v>9000</v>
      </c>
      <c r="I130" s="51">
        <f t="shared" ref="I130" si="47">I113*$B130</f>
        <v>9000</v>
      </c>
    </row>
    <row r="131" spans="1:10" s="18" customFormat="1" x14ac:dyDescent="0.2">
      <c r="A131" s="18" t="str">
        <f t="shared" si="28"/>
        <v>Маркетинг и реклама</v>
      </c>
      <c r="B131" s="51">
        <f t="shared" si="29"/>
        <v>68975.459699999992</v>
      </c>
      <c r="D131" s="51">
        <f t="shared" ref="D131:H131" si="48">D114*$B131</f>
        <v>0</v>
      </c>
      <c r="E131" s="51">
        <f t="shared" si="48"/>
        <v>17243.864924999998</v>
      </c>
      <c r="F131" s="51">
        <f t="shared" si="48"/>
        <v>34487.729849999996</v>
      </c>
      <c r="G131" s="51">
        <f t="shared" si="48"/>
        <v>51731.59477499999</v>
      </c>
      <c r="H131" s="51">
        <f t="shared" si="48"/>
        <v>68975.459699999992</v>
      </c>
      <c r="I131" s="51">
        <f t="shared" ref="I131" si="49">I114*$B131</f>
        <v>68975.459699999992</v>
      </c>
    </row>
    <row r="132" spans="1:10" s="18" customFormat="1" x14ac:dyDescent="0.2">
      <c r="A132" s="18" t="str">
        <f t="shared" si="28"/>
        <v>Прочие расходы</v>
      </c>
      <c r="B132" s="51">
        <f t="shared" si="29"/>
        <v>34487.729849999996</v>
      </c>
      <c r="D132" s="51">
        <f t="shared" ref="D132:H132" si="50">D115*$B132</f>
        <v>0</v>
      </c>
      <c r="E132" s="51">
        <f t="shared" si="50"/>
        <v>8621.932462499999</v>
      </c>
      <c r="F132" s="51">
        <f t="shared" si="50"/>
        <v>17243.864924999998</v>
      </c>
      <c r="G132" s="51">
        <f t="shared" si="50"/>
        <v>25865.797387499995</v>
      </c>
      <c r="H132" s="51">
        <f t="shared" si="50"/>
        <v>34487.729849999996</v>
      </c>
      <c r="I132" s="51">
        <f t="shared" ref="I132" si="51">I115*$B132</f>
        <v>34487.729849999996</v>
      </c>
    </row>
    <row r="133" spans="1:10" s="18" customFormat="1" x14ac:dyDescent="0.2">
      <c r="A133" s="18" t="s">
        <v>61</v>
      </c>
      <c r="B133" s="51">
        <f>SUM(B121:B132)</f>
        <v>7001009.1595499991</v>
      </c>
      <c r="D133" s="51">
        <f>SUM(D121:D132)</f>
        <v>0</v>
      </c>
      <c r="E133" s="51">
        <f t="shared" ref="E133:H133" si="52">SUM(E121:E132)</f>
        <v>2205291.5398875</v>
      </c>
      <c r="F133" s="51">
        <f t="shared" si="52"/>
        <v>3803864.0797749995</v>
      </c>
      <c r="G133" s="51">
        <f t="shared" si="52"/>
        <v>5402436.6196624991</v>
      </c>
      <c r="H133" s="51">
        <f t="shared" si="52"/>
        <v>7001009.1595499991</v>
      </c>
      <c r="I133" s="51">
        <f>SUM(I121:I132)</f>
        <v>7001009.1595499991</v>
      </c>
    </row>
    <row r="134" spans="1:10" s="18" customFormat="1" x14ac:dyDescent="0.2"/>
    <row r="135" spans="1:10" s="18" customFormat="1" x14ac:dyDescent="0.2"/>
    <row r="136" spans="1:10" s="18" customFormat="1" x14ac:dyDescent="0.2"/>
    <row r="137" spans="1:10" s="18" customFormat="1" x14ac:dyDescent="0.2"/>
    <row r="138" spans="1:10" s="18" customFormat="1" x14ac:dyDescent="0.2">
      <c r="A138" s="18" t="s">
        <v>100</v>
      </c>
    </row>
    <row r="139" spans="1:10" s="18" customFormat="1" x14ac:dyDescent="0.2">
      <c r="A139" s="18" t="s">
        <v>74</v>
      </c>
      <c r="D139" s="18" t="s">
        <v>102</v>
      </c>
      <c r="E139" s="18" t="s">
        <v>103</v>
      </c>
      <c r="F139" s="18" t="s">
        <v>104</v>
      </c>
      <c r="G139" s="18" t="s">
        <v>105</v>
      </c>
      <c r="H139" s="18" t="s">
        <v>106</v>
      </c>
      <c r="I139" s="18" t="s">
        <v>107</v>
      </c>
      <c r="J139" s="18" t="s">
        <v>101</v>
      </c>
    </row>
    <row r="140" spans="1:10" s="18" customFormat="1" x14ac:dyDescent="0.2">
      <c r="A140" s="18" t="str">
        <f t="shared" ref="A140:A149" si="53">A24</f>
        <v>Депозит по аренде цеха на 6 месяцев</v>
      </c>
      <c r="D140" s="27">
        <v>0.5</v>
      </c>
      <c r="E140" s="27">
        <v>0.5</v>
      </c>
      <c r="F140" s="27">
        <v>0</v>
      </c>
      <c r="G140" s="27">
        <v>0</v>
      </c>
      <c r="H140" s="27">
        <v>0</v>
      </c>
      <c r="I140" s="27">
        <v>0</v>
      </c>
      <c r="J140" s="32">
        <f>SUM(D140:I140)</f>
        <v>1</v>
      </c>
    </row>
    <row r="141" spans="1:10" s="18" customFormat="1" x14ac:dyDescent="0.2">
      <c r="A141" s="18" t="str">
        <f t="shared" si="53"/>
        <v>Депозит по аренде офиса на 3 месяца</v>
      </c>
      <c r="D141" s="27">
        <v>0.5</v>
      </c>
      <c r="E141" s="27">
        <v>0.5</v>
      </c>
      <c r="F141" s="27">
        <v>0</v>
      </c>
      <c r="G141" s="27">
        <v>0</v>
      </c>
      <c r="H141" s="27">
        <v>0</v>
      </c>
      <c r="I141" s="27">
        <v>0</v>
      </c>
      <c r="J141" s="32">
        <f t="shared" ref="J141:J149" si="54">SUM(D141:I141)</f>
        <v>1</v>
      </c>
    </row>
    <row r="142" spans="1:10" s="18" customFormat="1" x14ac:dyDescent="0.2">
      <c r="A142" s="18" t="str">
        <f t="shared" si="53"/>
        <v>Расчет инвестиций в цех (оборудование, инструмент, мебель)</v>
      </c>
      <c r="D142" s="27">
        <v>0</v>
      </c>
      <c r="E142" s="27">
        <v>0.5</v>
      </c>
      <c r="F142" s="27">
        <v>0.5</v>
      </c>
      <c r="G142" s="27">
        <v>0</v>
      </c>
      <c r="H142" s="27">
        <v>0</v>
      </c>
      <c r="I142" s="27">
        <v>0</v>
      </c>
      <c r="J142" s="32">
        <f t="shared" si="54"/>
        <v>1</v>
      </c>
    </row>
    <row r="143" spans="1:10" s="18" customFormat="1" x14ac:dyDescent="0.2">
      <c r="A143" s="18" t="str">
        <f t="shared" si="53"/>
        <v>Покупка автотранспортных средств</v>
      </c>
      <c r="D143" s="27">
        <v>0</v>
      </c>
      <c r="E143" s="27">
        <v>0</v>
      </c>
      <c r="F143" s="27">
        <v>0.5</v>
      </c>
      <c r="G143" s="27">
        <v>0.5</v>
      </c>
      <c r="H143" s="27">
        <v>0</v>
      </c>
      <c r="I143" s="27">
        <v>0</v>
      </c>
      <c r="J143" s="32">
        <f t="shared" si="54"/>
        <v>1</v>
      </c>
    </row>
    <row r="144" spans="1:10" s="18" customFormat="1" x14ac:dyDescent="0.2">
      <c r="A144" s="18" t="str">
        <f t="shared" si="53"/>
        <v>Расчет инвестиций в офис (мебель и оргтехника)</v>
      </c>
      <c r="D144" s="27">
        <v>0</v>
      </c>
      <c r="E144" s="27">
        <v>0.5</v>
      </c>
      <c r="F144" s="27">
        <v>0.5</v>
      </c>
      <c r="G144" s="27">
        <v>0</v>
      </c>
      <c r="H144" s="27">
        <v>0</v>
      </c>
      <c r="I144" s="27">
        <v>0</v>
      </c>
      <c r="J144" s="32">
        <f t="shared" si="54"/>
        <v>1</v>
      </c>
    </row>
    <row r="145" spans="1:10" s="18" customFormat="1" ht="16.5" customHeight="1" x14ac:dyDescent="0.2">
      <c r="A145" s="18" t="str">
        <f t="shared" si="53"/>
        <v>Подготовительные работы</v>
      </c>
      <c r="D145" s="27">
        <v>0</v>
      </c>
      <c r="E145" s="27">
        <v>0</v>
      </c>
      <c r="F145" s="27">
        <v>0.5</v>
      </c>
      <c r="G145" s="27">
        <v>0.5</v>
      </c>
      <c r="H145" s="27">
        <v>0</v>
      </c>
      <c r="I145" s="27">
        <v>0</v>
      </c>
      <c r="J145" s="32">
        <f t="shared" si="54"/>
        <v>1</v>
      </c>
    </row>
    <row r="146" spans="1:10" s="18" customFormat="1" x14ac:dyDescent="0.2">
      <c r="A146" s="18" t="str">
        <f t="shared" si="53"/>
        <v>Маркетинг и реклама</v>
      </c>
      <c r="D146" s="27">
        <v>0</v>
      </c>
      <c r="E146" s="27">
        <v>0.5</v>
      </c>
      <c r="F146" s="27">
        <v>0.5</v>
      </c>
      <c r="G146" s="27">
        <v>0</v>
      </c>
      <c r="H146" s="27">
        <v>0</v>
      </c>
      <c r="I146" s="27">
        <v>0</v>
      </c>
      <c r="J146" s="32">
        <f t="shared" si="54"/>
        <v>1</v>
      </c>
    </row>
    <row r="147" spans="1:10" s="18" customFormat="1" x14ac:dyDescent="0.2">
      <c r="A147" s="18" t="str">
        <f t="shared" si="53"/>
        <v>Прочие, 10% от инвестиций выше</v>
      </c>
      <c r="D147" s="27">
        <v>0</v>
      </c>
      <c r="E147" s="27">
        <v>0.5</v>
      </c>
      <c r="F147" s="27">
        <v>0.5</v>
      </c>
      <c r="G147" s="27">
        <v>0</v>
      </c>
      <c r="H147" s="27">
        <v>0</v>
      </c>
      <c r="I147" s="27">
        <v>0</v>
      </c>
      <c r="J147" s="32">
        <f t="shared" si="54"/>
        <v>1</v>
      </c>
    </row>
    <row r="148" spans="1:10" s="18" customFormat="1" x14ac:dyDescent="0.2">
      <c r="A148" s="18" t="str">
        <f t="shared" si="53"/>
        <v>Оборотный капитал</v>
      </c>
      <c r="D148" s="27">
        <v>0</v>
      </c>
      <c r="E148" s="27">
        <v>0</v>
      </c>
      <c r="F148" s="27">
        <v>0.25</v>
      </c>
      <c r="G148" s="27">
        <v>0.25</v>
      </c>
      <c r="H148" s="27">
        <v>0.25</v>
      </c>
      <c r="I148" s="27">
        <v>0.25</v>
      </c>
      <c r="J148" s="32">
        <f t="shared" si="54"/>
        <v>1</v>
      </c>
    </row>
    <row r="149" spans="1:10" s="18" customFormat="1" x14ac:dyDescent="0.2">
      <c r="A149" s="18" t="str">
        <f t="shared" si="53"/>
        <v>Запас денег на покрытие кассовых разрывов</v>
      </c>
      <c r="D149" s="27">
        <v>1</v>
      </c>
      <c r="E149" s="27">
        <v>0</v>
      </c>
      <c r="F149" s="27">
        <v>0</v>
      </c>
      <c r="G149" s="27">
        <v>0</v>
      </c>
      <c r="H149" s="27">
        <v>0</v>
      </c>
      <c r="I149" s="27">
        <v>0</v>
      </c>
      <c r="J149" s="32">
        <f t="shared" si="54"/>
        <v>1</v>
      </c>
    </row>
    <row r="150" spans="1:10" s="18" customFormat="1" x14ac:dyDescent="0.2">
      <c r="A150" s="18" t="s">
        <v>61</v>
      </c>
    </row>
    <row r="151" spans="1:10" s="18" customFormat="1" x14ac:dyDescent="0.2"/>
    <row r="152" spans="1:10" s="18" customFormat="1" x14ac:dyDescent="0.2"/>
    <row r="153" spans="1:10" s="18" customFormat="1" x14ac:dyDescent="0.2"/>
    <row r="154" spans="1:10" s="18" customFormat="1" x14ac:dyDescent="0.2">
      <c r="A154" s="18" t="s">
        <v>108</v>
      </c>
    </row>
    <row r="155" spans="1:10" s="18" customFormat="1" x14ac:dyDescent="0.2">
      <c r="A155" s="18" t="s">
        <v>74</v>
      </c>
      <c r="D155" s="18" t="s">
        <v>102</v>
      </c>
      <c r="E155" s="18" t="s">
        <v>103</v>
      </c>
      <c r="F155" s="18" t="s">
        <v>104</v>
      </c>
      <c r="G155" s="18" t="s">
        <v>105</v>
      </c>
      <c r="H155" s="18" t="s">
        <v>106</v>
      </c>
      <c r="I155" s="18" t="s">
        <v>107</v>
      </c>
      <c r="J155" s="18" t="s">
        <v>61</v>
      </c>
    </row>
    <row r="156" spans="1:10" s="18" customFormat="1" x14ac:dyDescent="0.2">
      <c r="A156" s="18" t="str">
        <f>A140</f>
        <v>Депозит по аренде цеха на 6 месяцев</v>
      </c>
      <c r="B156" s="51">
        <f t="shared" ref="B156:B165" si="55">B24</f>
        <v>3156600</v>
      </c>
      <c r="D156" s="51">
        <f>$B156*D140</f>
        <v>1578300</v>
      </c>
      <c r="E156" s="51">
        <f t="shared" ref="E156:I156" si="56">$B156*E140</f>
        <v>1578300</v>
      </c>
      <c r="F156" s="51">
        <f t="shared" si="56"/>
        <v>0</v>
      </c>
      <c r="G156" s="51">
        <f t="shared" si="56"/>
        <v>0</v>
      </c>
      <c r="H156" s="51">
        <f t="shared" si="56"/>
        <v>0</v>
      </c>
      <c r="I156" s="51">
        <f t="shared" si="56"/>
        <v>0</v>
      </c>
      <c r="J156" s="51">
        <f>SUM(D156:I156)</f>
        <v>3156600</v>
      </c>
    </row>
    <row r="157" spans="1:10" s="18" customFormat="1" x14ac:dyDescent="0.2">
      <c r="A157" s="18" t="str">
        <f t="shared" ref="A157:A165" si="57">A141</f>
        <v>Депозит по аренде офиса на 3 месяца</v>
      </c>
      <c r="B157" s="51">
        <f t="shared" si="55"/>
        <v>241857</v>
      </c>
      <c r="D157" s="51">
        <f t="shared" ref="D157:I157" si="58">$B157*D141</f>
        <v>120928.5</v>
      </c>
      <c r="E157" s="51">
        <f t="shared" si="58"/>
        <v>120928.5</v>
      </c>
      <c r="F157" s="51">
        <f t="shared" si="58"/>
        <v>0</v>
      </c>
      <c r="G157" s="51">
        <f t="shared" si="58"/>
        <v>0</v>
      </c>
      <c r="H157" s="51">
        <f t="shared" si="58"/>
        <v>0</v>
      </c>
      <c r="I157" s="51">
        <f t="shared" si="58"/>
        <v>0</v>
      </c>
      <c r="J157" s="51">
        <f t="shared" ref="J157:J165" si="59">SUM(D157:I157)</f>
        <v>241857</v>
      </c>
    </row>
    <row r="158" spans="1:10" s="18" customFormat="1" x14ac:dyDescent="0.2">
      <c r="A158" s="18" t="str">
        <f t="shared" si="57"/>
        <v>Расчет инвестиций в цех (оборудование, инструмент, мебель)</v>
      </c>
      <c r="B158" s="51">
        <f t="shared" si="55"/>
        <v>14954525</v>
      </c>
      <c r="D158" s="51">
        <f t="shared" ref="D158:I158" si="60">$B158*D142</f>
        <v>0</v>
      </c>
      <c r="E158" s="51">
        <f t="shared" si="60"/>
        <v>7477262.5</v>
      </c>
      <c r="F158" s="51">
        <f t="shared" si="60"/>
        <v>7477262.5</v>
      </c>
      <c r="G158" s="51">
        <f t="shared" si="60"/>
        <v>0</v>
      </c>
      <c r="H158" s="51">
        <f t="shared" si="60"/>
        <v>0</v>
      </c>
      <c r="I158" s="51">
        <f t="shared" si="60"/>
        <v>0</v>
      </c>
      <c r="J158" s="51">
        <f t="shared" si="59"/>
        <v>14954525</v>
      </c>
    </row>
    <row r="159" spans="1:10" s="18" customFormat="1" x14ac:dyDescent="0.2">
      <c r="A159" s="18" t="str">
        <f t="shared" si="57"/>
        <v>Покупка автотранспортных средств</v>
      </c>
      <c r="B159" s="51">
        <f t="shared" si="55"/>
        <v>13500000</v>
      </c>
      <c r="D159" s="51">
        <f t="shared" ref="D159:I159" si="61">$B159*D143</f>
        <v>0</v>
      </c>
      <c r="E159" s="51">
        <f t="shared" si="61"/>
        <v>0</v>
      </c>
      <c r="F159" s="51">
        <f t="shared" si="61"/>
        <v>6750000</v>
      </c>
      <c r="G159" s="51">
        <f t="shared" si="61"/>
        <v>6750000</v>
      </c>
      <c r="H159" s="51">
        <f t="shared" si="61"/>
        <v>0</v>
      </c>
      <c r="I159" s="51">
        <f t="shared" si="61"/>
        <v>0</v>
      </c>
      <c r="J159" s="51">
        <f t="shared" si="59"/>
        <v>13500000</v>
      </c>
    </row>
    <row r="160" spans="1:10" s="18" customFormat="1" x14ac:dyDescent="0.2">
      <c r="A160" s="18" t="str">
        <f t="shared" si="57"/>
        <v>Расчет инвестиций в офис (мебель и оргтехника)</v>
      </c>
      <c r="B160" s="51">
        <f t="shared" si="55"/>
        <v>447266</v>
      </c>
      <c r="D160" s="51">
        <f t="shared" ref="D160:I160" si="62">$B160*D144</f>
        <v>0</v>
      </c>
      <c r="E160" s="51">
        <f t="shared" si="62"/>
        <v>223633</v>
      </c>
      <c r="F160" s="51">
        <f t="shared" si="62"/>
        <v>223633</v>
      </c>
      <c r="G160" s="51">
        <f t="shared" si="62"/>
        <v>0</v>
      </c>
      <c r="H160" s="51">
        <f t="shared" si="62"/>
        <v>0</v>
      </c>
      <c r="I160" s="51">
        <f t="shared" si="62"/>
        <v>0</v>
      </c>
      <c r="J160" s="51">
        <f t="shared" si="59"/>
        <v>447266</v>
      </c>
    </row>
    <row r="161" spans="1:10" s="18" customFormat="1" x14ac:dyDescent="0.2">
      <c r="A161" s="18" t="str">
        <f t="shared" si="57"/>
        <v>Подготовительные работы</v>
      </c>
      <c r="B161" s="51">
        <f t="shared" si="55"/>
        <v>300000</v>
      </c>
      <c r="D161" s="51">
        <f t="shared" ref="D161:I161" si="63">$B161*D145</f>
        <v>0</v>
      </c>
      <c r="E161" s="51">
        <f t="shared" si="63"/>
        <v>0</v>
      </c>
      <c r="F161" s="51">
        <f t="shared" si="63"/>
        <v>150000</v>
      </c>
      <c r="G161" s="51">
        <f t="shared" si="63"/>
        <v>150000</v>
      </c>
      <c r="H161" s="51">
        <f t="shared" si="63"/>
        <v>0</v>
      </c>
      <c r="I161" s="51">
        <f t="shared" si="63"/>
        <v>0</v>
      </c>
      <c r="J161" s="51">
        <f t="shared" si="59"/>
        <v>300000</v>
      </c>
    </row>
    <row r="162" spans="1:10" s="18" customFormat="1" x14ac:dyDescent="0.2">
      <c r="A162" s="18" t="str">
        <f t="shared" si="57"/>
        <v>Маркетинг и реклама</v>
      </c>
      <c r="B162" s="51">
        <f t="shared" si="55"/>
        <v>300000</v>
      </c>
      <c r="D162" s="51">
        <f t="shared" ref="D162:I162" si="64">$B162*D146</f>
        <v>0</v>
      </c>
      <c r="E162" s="51">
        <f t="shared" si="64"/>
        <v>150000</v>
      </c>
      <c r="F162" s="51">
        <f t="shared" si="64"/>
        <v>150000</v>
      </c>
      <c r="G162" s="51">
        <f t="shared" si="64"/>
        <v>0</v>
      </c>
      <c r="H162" s="51">
        <f t="shared" si="64"/>
        <v>0</v>
      </c>
      <c r="I162" s="51">
        <f t="shared" si="64"/>
        <v>0</v>
      </c>
      <c r="J162" s="51">
        <f t="shared" si="59"/>
        <v>300000</v>
      </c>
    </row>
    <row r="163" spans="1:10" s="18" customFormat="1" x14ac:dyDescent="0.2">
      <c r="A163" s="18" t="str">
        <f t="shared" si="57"/>
        <v>Прочие, 10% от инвестиций выше</v>
      </c>
      <c r="B163" s="51">
        <f t="shared" si="55"/>
        <v>3290024.8000000003</v>
      </c>
      <c r="D163" s="51">
        <f t="shared" ref="D163:I163" si="65">$B163*D147</f>
        <v>0</v>
      </c>
      <c r="E163" s="51">
        <f t="shared" si="65"/>
        <v>1645012.4000000001</v>
      </c>
      <c r="F163" s="51">
        <f t="shared" si="65"/>
        <v>1645012.4000000001</v>
      </c>
      <c r="G163" s="51">
        <f t="shared" si="65"/>
        <v>0</v>
      </c>
      <c r="H163" s="51">
        <f t="shared" si="65"/>
        <v>0</v>
      </c>
      <c r="I163" s="51">
        <f t="shared" si="65"/>
        <v>0</v>
      </c>
      <c r="J163" s="51">
        <f t="shared" si="59"/>
        <v>3290024.8000000003</v>
      </c>
    </row>
    <row r="164" spans="1:10" s="18" customFormat="1" x14ac:dyDescent="0.2">
      <c r="A164" s="18" t="str">
        <f t="shared" si="57"/>
        <v>Оборотный капитал</v>
      </c>
      <c r="B164" s="51">
        <f t="shared" si="55"/>
        <v>41683189.558424994</v>
      </c>
      <c r="D164" s="51">
        <f t="shared" ref="D164:I164" si="66">$B164*D148</f>
        <v>0</v>
      </c>
      <c r="E164" s="51">
        <f t="shared" si="66"/>
        <v>0</v>
      </c>
      <c r="F164" s="51">
        <f t="shared" si="66"/>
        <v>10420797.389606249</v>
      </c>
      <c r="G164" s="51">
        <f t="shared" si="66"/>
        <v>10420797.389606249</v>
      </c>
      <c r="H164" s="51">
        <f t="shared" si="66"/>
        <v>10420797.389606249</v>
      </c>
      <c r="I164" s="51">
        <f t="shared" si="66"/>
        <v>10420797.389606249</v>
      </c>
      <c r="J164" s="51">
        <f t="shared" si="59"/>
        <v>41683189.558424994</v>
      </c>
    </row>
    <row r="165" spans="1:10" s="18" customFormat="1" x14ac:dyDescent="0.2">
      <c r="A165" s="18" t="str">
        <f t="shared" si="57"/>
        <v>Запас денег на покрытие кассовых разрывов</v>
      </c>
      <c r="B165" s="51">
        <f t="shared" si="55"/>
        <v>5143647.2782630194</v>
      </c>
      <c r="D165" s="51">
        <f t="shared" ref="D165:I165" si="67">$B165*D149</f>
        <v>5143647.2782630194</v>
      </c>
      <c r="E165" s="51">
        <f t="shared" si="67"/>
        <v>0</v>
      </c>
      <c r="F165" s="51">
        <f t="shared" si="67"/>
        <v>0</v>
      </c>
      <c r="G165" s="51">
        <f t="shared" si="67"/>
        <v>0</v>
      </c>
      <c r="H165" s="51">
        <f t="shared" si="67"/>
        <v>0</v>
      </c>
      <c r="I165" s="51">
        <f t="shared" si="67"/>
        <v>0</v>
      </c>
      <c r="J165" s="51">
        <f t="shared" si="59"/>
        <v>5143647.2782630194</v>
      </c>
    </row>
    <row r="166" spans="1:10" s="18" customFormat="1" x14ac:dyDescent="0.2">
      <c r="A166" s="18" t="s">
        <v>61</v>
      </c>
      <c r="B166" s="51">
        <f>SUM(B156:B165)</f>
        <v>83017109.636688009</v>
      </c>
      <c r="C166" s="51"/>
      <c r="D166" s="51">
        <f t="shared" ref="D166:J166" si="68">SUM(D156:D165)</f>
        <v>6842875.7782630194</v>
      </c>
      <c r="E166" s="51">
        <f t="shared" si="68"/>
        <v>11195136.4</v>
      </c>
      <c r="F166" s="51">
        <f t="shared" si="68"/>
        <v>26816705.289606251</v>
      </c>
      <c r="G166" s="51">
        <f t="shared" si="68"/>
        <v>17320797.389606249</v>
      </c>
      <c r="H166" s="51">
        <f t="shared" si="68"/>
        <v>10420797.389606249</v>
      </c>
      <c r="I166" s="51">
        <f t="shared" si="68"/>
        <v>10420797.389606249</v>
      </c>
      <c r="J166" s="51">
        <f t="shared" si="68"/>
        <v>83017109.636688009</v>
      </c>
    </row>
    <row r="167" spans="1:10" s="35" customFormat="1" ht="15" thickBot="1" x14ac:dyDescent="0.25"/>
    <row r="168" spans="1:10" ht="15" thickTop="1" x14ac:dyDescent="0.2"/>
    <row r="169" spans="1:10" ht="15" thickBot="1" x14ac:dyDescent="0.25"/>
    <row r="170" spans="1:10" s="36" customFormat="1" ht="27.75" thickTop="1" thickBot="1" x14ac:dyDescent="0.45">
      <c r="A170" s="365" t="s">
        <v>32</v>
      </c>
      <c r="B170" s="365"/>
      <c r="C170" s="366"/>
    </row>
    <row r="171" spans="1:10" s="37" customFormat="1" ht="15" thickTop="1" x14ac:dyDescent="0.2"/>
    <row r="172" spans="1:10" s="37" customFormat="1" x14ac:dyDescent="0.2"/>
    <row r="173" spans="1:10" s="37" customFormat="1" x14ac:dyDescent="0.2"/>
    <row r="174" spans="1:10" s="37" customFormat="1" x14ac:dyDescent="0.2"/>
    <row r="175" spans="1:10" s="37" customFormat="1" x14ac:dyDescent="0.2"/>
    <row r="176" spans="1:10" s="37" customFormat="1" x14ac:dyDescent="0.2"/>
    <row r="177" s="37" customFormat="1" x14ac:dyDescent="0.2"/>
    <row r="178" s="37" customFormat="1" x14ac:dyDescent="0.2"/>
    <row r="179" s="37" customFormat="1" x14ac:dyDescent="0.2"/>
    <row r="180" s="37" customFormat="1" x14ac:dyDescent="0.2"/>
    <row r="181" s="37" customFormat="1" x14ac:dyDescent="0.2"/>
    <row r="182" s="37" customFormat="1" x14ac:dyDescent="0.2"/>
    <row r="183" s="37" customFormat="1" x14ac:dyDescent="0.2"/>
    <row r="184" s="37" customFormat="1" x14ac:dyDescent="0.2"/>
    <row r="185" s="37" customFormat="1" x14ac:dyDescent="0.2"/>
    <row r="186" s="37" customFormat="1" x14ac:dyDescent="0.2"/>
    <row r="187" s="37" customFormat="1" x14ac:dyDescent="0.2"/>
    <row r="188" s="37" customFormat="1" x14ac:dyDescent="0.2"/>
    <row r="189" s="37" customFormat="1" x14ac:dyDescent="0.2"/>
    <row r="190" s="37" customFormat="1" x14ac:dyDescent="0.2"/>
    <row r="191" s="37" customFormat="1" x14ac:dyDescent="0.2"/>
    <row r="192" s="37" customFormat="1" x14ac:dyDescent="0.2"/>
    <row r="193" s="37" customFormat="1" x14ac:dyDescent="0.2"/>
    <row r="194" s="37" customFormat="1" x14ac:dyDescent="0.2"/>
    <row r="195" s="37" customFormat="1" x14ac:dyDescent="0.2"/>
    <row r="196" s="37" customFormat="1" x14ac:dyDescent="0.2"/>
    <row r="197" s="37" customFormat="1" x14ac:dyDescent="0.2"/>
    <row r="198" s="37" customFormat="1" x14ac:dyDescent="0.2"/>
    <row r="199" s="37" customFormat="1" x14ac:dyDescent="0.2"/>
    <row r="200" s="37" customFormat="1" x14ac:dyDescent="0.2"/>
    <row r="201" s="37" customFormat="1" x14ac:dyDescent="0.2"/>
    <row r="202" s="37" customFormat="1" x14ac:dyDescent="0.2"/>
    <row r="203" s="37" customFormat="1" x14ac:dyDescent="0.2"/>
    <row r="204" s="37" customFormat="1" x14ac:dyDescent="0.2"/>
    <row r="205" s="38" customFormat="1" ht="15" thickBot="1" x14ac:dyDescent="0.25"/>
    <row r="206" ht="15" thickTop="1" x14ac:dyDescent="0.2"/>
  </sheetData>
  <mergeCells count="9">
    <mergeCell ref="A170:C170"/>
    <mergeCell ref="A2:C2"/>
    <mergeCell ref="A21:C21"/>
    <mergeCell ref="D87:I87"/>
    <mergeCell ref="D102:I102"/>
    <mergeCell ref="C3:E3"/>
    <mergeCell ref="F3:H3"/>
    <mergeCell ref="C16:E16"/>
    <mergeCell ref="F16:H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CC"/>
  </sheetPr>
  <dimension ref="A1:Y143"/>
  <sheetViews>
    <sheetView zoomScaleNormal="100" workbookViewId="0">
      <selection activeCell="B57" sqref="B57"/>
    </sheetView>
  </sheetViews>
  <sheetFormatPr defaultRowHeight="14.25" x14ac:dyDescent="0.2"/>
  <cols>
    <col min="1" max="1" width="80.7109375" style="1" bestFit="1" customWidth="1"/>
    <col min="2" max="2" width="13.28515625" style="1" customWidth="1"/>
    <col min="3" max="5" width="12.140625" style="1" customWidth="1"/>
    <col min="6" max="6" width="12.5703125" style="1" customWidth="1"/>
    <col min="7" max="22" width="13.140625" style="1" customWidth="1"/>
    <col min="23" max="24" width="11.5703125" style="1" customWidth="1"/>
    <col min="25" max="25" width="6.5703125" style="1" bestFit="1" customWidth="1"/>
    <col min="26" max="16384" width="9.140625" style="1"/>
  </cols>
  <sheetData>
    <row r="1" spans="1:3" ht="15" thickBot="1" x14ac:dyDescent="0.25"/>
    <row r="2" spans="1:3" s="2" customFormat="1" ht="27.75" thickTop="1" thickBot="1" x14ac:dyDescent="0.45">
      <c r="A2" s="362" t="s">
        <v>113</v>
      </c>
      <c r="B2" s="362"/>
      <c r="C2" s="363"/>
    </row>
    <row r="3" spans="1:3" s="3" customFormat="1" ht="15" thickTop="1" x14ac:dyDescent="0.2"/>
    <row r="4" spans="1:3" s="3" customFormat="1" ht="15" x14ac:dyDescent="0.25">
      <c r="A4" s="9" t="s">
        <v>111</v>
      </c>
      <c r="B4" s="13"/>
    </row>
    <row r="5" spans="1:3" s="3" customFormat="1" x14ac:dyDescent="0.2">
      <c r="A5" s="3" t="s">
        <v>189</v>
      </c>
      <c r="B5" s="10">
        <f>B47</f>
        <v>77873462.358424991</v>
      </c>
    </row>
    <row r="6" spans="1:3" s="3" customFormat="1" x14ac:dyDescent="0.2">
      <c r="A6" s="3" t="s">
        <v>186</v>
      </c>
      <c r="B6" s="10">
        <f>B57</f>
        <v>5143647.2782630194</v>
      </c>
    </row>
    <row r="7" spans="1:3" s="3" customFormat="1" ht="15" x14ac:dyDescent="0.25">
      <c r="A7" s="9" t="s">
        <v>7</v>
      </c>
      <c r="B7" s="13">
        <f>SUM(B5:B6)</f>
        <v>83017109.636688009</v>
      </c>
    </row>
    <row r="8" spans="1:3" s="3" customFormat="1" x14ac:dyDescent="0.2"/>
    <row r="9" spans="1:3" s="3" customFormat="1" ht="15" x14ac:dyDescent="0.25">
      <c r="A9" s="9" t="s">
        <v>113</v>
      </c>
      <c r="B9" s="13"/>
    </row>
    <row r="10" spans="1:3" s="3" customFormat="1" x14ac:dyDescent="0.2">
      <c r="A10" s="3" t="s">
        <v>187</v>
      </c>
      <c r="B10" s="10">
        <f>B56</f>
        <v>77873462.358424991</v>
      </c>
    </row>
    <row r="11" spans="1:3" s="3" customFormat="1" x14ac:dyDescent="0.2">
      <c r="A11" s="3" t="s">
        <v>188</v>
      </c>
      <c r="B11" s="10">
        <f>B57</f>
        <v>5143647.2782630194</v>
      </c>
    </row>
    <row r="12" spans="1:3" s="3" customFormat="1" x14ac:dyDescent="0.2">
      <c r="A12" s="3" t="s">
        <v>116</v>
      </c>
      <c r="B12" s="10">
        <f>B58</f>
        <v>0</v>
      </c>
    </row>
    <row r="13" spans="1:3" s="3" customFormat="1" ht="15" x14ac:dyDescent="0.25">
      <c r="A13" s="9" t="s">
        <v>7</v>
      </c>
      <c r="B13" s="13">
        <f>SUM(B10:B12)</f>
        <v>83017109.636688009</v>
      </c>
    </row>
    <row r="14" spans="1:3" s="3" customFormat="1" x14ac:dyDescent="0.2"/>
    <row r="15" spans="1:3" s="3" customFormat="1" ht="15" x14ac:dyDescent="0.25">
      <c r="A15" s="9" t="s">
        <v>191</v>
      </c>
    </row>
    <row r="16" spans="1:3" s="3" customFormat="1" x14ac:dyDescent="0.2">
      <c r="A16" s="3" t="s">
        <v>190</v>
      </c>
      <c r="B16" s="10">
        <f>B56</f>
        <v>77873462.358424991</v>
      </c>
      <c r="C16" s="83">
        <f>B51</f>
        <v>1</v>
      </c>
    </row>
    <row r="17" spans="1:25" s="3" customFormat="1" x14ac:dyDescent="0.2">
      <c r="A17" s="3" t="s">
        <v>116</v>
      </c>
      <c r="B17" s="10">
        <f>B58</f>
        <v>0</v>
      </c>
      <c r="C17" s="83">
        <f>B52</f>
        <v>0</v>
      </c>
    </row>
    <row r="18" spans="1:25" s="3" customFormat="1" ht="15" x14ac:dyDescent="0.25">
      <c r="A18" s="9" t="s">
        <v>7</v>
      </c>
      <c r="B18" s="13">
        <f>SUM(B16:B17)</f>
        <v>77873462.358424991</v>
      </c>
      <c r="C18" s="84">
        <f>SUM(C16:C17)</f>
        <v>1</v>
      </c>
    </row>
    <row r="19" spans="1:25" s="3" customFormat="1" x14ac:dyDescent="0.2">
      <c r="F19" s="355" t="s">
        <v>34</v>
      </c>
      <c r="G19" s="356"/>
      <c r="H19" s="356"/>
      <c r="I19" s="357"/>
      <c r="J19" s="355" t="s">
        <v>35</v>
      </c>
      <c r="K19" s="356"/>
      <c r="L19" s="356"/>
      <c r="M19" s="357"/>
      <c r="N19" s="355" t="s">
        <v>36</v>
      </c>
      <c r="O19" s="356"/>
      <c r="P19" s="356"/>
      <c r="Q19" s="357"/>
      <c r="R19" s="355" t="s">
        <v>37</v>
      </c>
      <c r="S19" s="356"/>
      <c r="T19" s="356"/>
      <c r="U19" s="357"/>
      <c r="V19" s="355" t="s">
        <v>38</v>
      </c>
      <c r="W19" s="356"/>
      <c r="X19" s="356"/>
      <c r="Y19" s="357"/>
    </row>
    <row r="20" spans="1:25" s="3" customFormat="1" x14ac:dyDescent="0.2">
      <c r="F20" s="7" t="str">
        <f>'Параметры Доходы'!F4</f>
        <v>1 кв.</v>
      </c>
      <c r="G20" s="3" t="str">
        <f>'Параметры Доходы'!G4</f>
        <v>2 кв.</v>
      </c>
      <c r="H20" s="3" t="str">
        <f>'Параметры Доходы'!H4</f>
        <v>3 кв.</v>
      </c>
      <c r="I20" s="8" t="str">
        <f>'Параметры Доходы'!I4</f>
        <v>4 кв.</v>
      </c>
      <c r="J20" s="7" t="str">
        <f>'Параметры Доходы'!J4</f>
        <v>5 кв.</v>
      </c>
      <c r="K20" s="3" t="str">
        <f>'Параметры Доходы'!K4</f>
        <v>6 кв.</v>
      </c>
      <c r="L20" s="3" t="str">
        <f>'Параметры Доходы'!L4</f>
        <v>7 кв.</v>
      </c>
      <c r="M20" s="8" t="str">
        <f>'Параметры Доходы'!M4</f>
        <v>8 кв.</v>
      </c>
      <c r="N20" s="7" t="str">
        <f>'Параметры Доходы'!N4</f>
        <v>9 кв.</v>
      </c>
      <c r="O20" s="3" t="str">
        <f>'Параметры Доходы'!O4</f>
        <v>10 кв.</v>
      </c>
      <c r="P20" s="3" t="str">
        <f>'Параметры Доходы'!P4</f>
        <v>11 кв.</v>
      </c>
      <c r="Q20" s="8" t="str">
        <f>'Параметры Доходы'!Q4</f>
        <v>12 кв.</v>
      </c>
      <c r="R20" s="7" t="str">
        <f>'Параметры Доходы'!R4</f>
        <v>13 кв.</v>
      </c>
      <c r="S20" s="3" t="str">
        <f>'Параметры Доходы'!S4</f>
        <v>14 кв.</v>
      </c>
      <c r="T20" s="3" t="str">
        <f>'Параметры Доходы'!T4</f>
        <v>15 кв.</v>
      </c>
      <c r="U20" s="8" t="str">
        <f>'Параметры Доходы'!U4</f>
        <v>16 кв.</v>
      </c>
      <c r="V20" s="7" t="str">
        <f>'Параметры Доходы'!V4</f>
        <v>17 кв.</v>
      </c>
      <c r="W20" s="3" t="str">
        <f>'Параметры Доходы'!W4</f>
        <v>18 кв.</v>
      </c>
      <c r="X20" s="3" t="str">
        <f>'Параметры Доходы'!X4</f>
        <v>19 кв.</v>
      </c>
      <c r="Y20" s="8" t="str">
        <f>'Параметры Доходы'!Y4</f>
        <v>20 кв.</v>
      </c>
    </row>
    <row r="21" spans="1:25" s="3" customFormat="1" x14ac:dyDescent="0.2">
      <c r="A21" s="3" t="s">
        <v>192</v>
      </c>
      <c r="F21" s="7"/>
      <c r="I21" s="8"/>
      <c r="J21" s="7"/>
      <c r="M21" s="8"/>
      <c r="N21" s="7"/>
      <c r="Q21" s="8"/>
      <c r="R21" s="7"/>
      <c r="U21" s="8"/>
      <c r="V21" s="7"/>
      <c r="Y21" s="8"/>
    </row>
    <row r="22" spans="1:25" s="3" customFormat="1" x14ac:dyDescent="0.2">
      <c r="A22" s="3" t="s">
        <v>193</v>
      </c>
      <c r="F22" s="7"/>
      <c r="I22" s="8"/>
      <c r="J22" s="7"/>
      <c r="M22" s="8"/>
      <c r="N22" s="7"/>
      <c r="Q22" s="8"/>
      <c r="R22" s="7"/>
      <c r="U22" s="8"/>
      <c r="V22" s="7"/>
      <c r="Y22" s="8"/>
    </row>
    <row r="23" spans="1:25" s="3" customFormat="1" x14ac:dyDescent="0.2">
      <c r="A23" s="40" t="s">
        <v>187</v>
      </c>
      <c r="F23" s="11">
        <f>B16</f>
        <v>77873462.358424991</v>
      </c>
      <c r="I23" s="8"/>
      <c r="J23" s="11"/>
      <c r="M23" s="8"/>
      <c r="N23" s="11"/>
      <c r="Q23" s="8"/>
      <c r="R23" s="11"/>
      <c r="U23" s="8"/>
      <c r="V23" s="11"/>
      <c r="Y23" s="8"/>
    </row>
    <row r="24" spans="1:25" s="3" customFormat="1" x14ac:dyDescent="0.2">
      <c r="A24" s="40" t="s">
        <v>188</v>
      </c>
      <c r="F24" s="11">
        <f>B11</f>
        <v>5143647.2782630194</v>
      </c>
      <c r="I24" s="8"/>
      <c r="J24" s="11"/>
      <c r="M24" s="8"/>
      <c r="N24" s="11"/>
      <c r="Q24" s="8"/>
      <c r="R24" s="11"/>
      <c r="U24" s="8"/>
      <c r="V24" s="11"/>
      <c r="Y24" s="8"/>
    </row>
    <row r="25" spans="1:25" s="3" customFormat="1" x14ac:dyDescent="0.2">
      <c r="A25" s="40" t="s">
        <v>116</v>
      </c>
      <c r="F25" s="11">
        <f>B12</f>
        <v>0</v>
      </c>
      <c r="I25" s="8"/>
      <c r="J25" s="11"/>
      <c r="M25" s="8"/>
      <c r="N25" s="11"/>
      <c r="Q25" s="8"/>
      <c r="R25" s="11"/>
      <c r="U25" s="8"/>
      <c r="V25" s="11"/>
      <c r="Y25" s="8"/>
    </row>
    <row r="26" spans="1:25" s="3" customFormat="1" x14ac:dyDescent="0.2">
      <c r="A26" s="3" t="s">
        <v>194</v>
      </c>
      <c r="F26" s="7"/>
      <c r="I26" s="8"/>
      <c r="J26" s="7"/>
      <c r="M26" s="8"/>
      <c r="N26" s="7"/>
      <c r="Q26" s="8"/>
      <c r="R26" s="7"/>
      <c r="U26" s="8"/>
      <c r="V26" s="7"/>
      <c r="Y26" s="8"/>
    </row>
    <row r="27" spans="1:25" s="3" customFormat="1" x14ac:dyDescent="0.2">
      <c r="A27" s="40" t="s">
        <v>128</v>
      </c>
      <c r="F27" s="11">
        <f>C80</f>
        <v>0</v>
      </c>
      <c r="G27" s="10">
        <f t="shared" ref="G27:Y27" si="0">D80</f>
        <v>0</v>
      </c>
      <c r="H27" s="10">
        <f t="shared" si="0"/>
        <v>0</v>
      </c>
      <c r="I27" s="12">
        <f t="shared" si="0"/>
        <v>0</v>
      </c>
      <c r="J27" s="11">
        <f t="shared" si="0"/>
        <v>0</v>
      </c>
      <c r="K27" s="10">
        <f t="shared" si="0"/>
        <v>0</v>
      </c>
      <c r="L27" s="10">
        <f t="shared" si="0"/>
        <v>0</v>
      </c>
      <c r="M27" s="12">
        <f t="shared" si="0"/>
        <v>0</v>
      </c>
      <c r="N27" s="11">
        <f t="shared" si="0"/>
        <v>0</v>
      </c>
      <c r="O27" s="10">
        <f t="shared" si="0"/>
        <v>0</v>
      </c>
      <c r="P27" s="10">
        <f t="shared" si="0"/>
        <v>0</v>
      </c>
      <c r="Q27" s="12">
        <f t="shared" si="0"/>
        <v>0</v>
      </c>
      <c r="R27" s="11">
        <f t="shared" si="0"/>
        <v>0</v>
      </c>
      <c r="S27" s="10">
        <f t="shared" si="0"/>
        <v>0</v>
      </c>
      <c r="T27" s="10">
        <f t="shared" si="0"/>
        <v>0</v>
      </c>
      <c r="U27" s="12">
        <f t="shared" si="0"/>
        <v>0</v>
      </c>
      <c r="V27" s="11">
        <f t="shared" si="0"/>
        <v>0</v>
      </c>
      <c r="W27" s="10">
        <f t="shared" si="0"/>
        <v>0</v>
      </c>
      <c r="X27" s="10">
        <f t="shared" si="0"/>
        <v>0</v>
      </c>
      <c r="Y27" s="12">
        <f t="shared" si="0"/>
        <v>0</v>
      </c>
    </row>
    <row r="28" spans="1:25" s="3" customFormat="1" x14ac:dyDescent="0.2">
      <c r="A28" s="40" t="s">
        <v>129</v>
      </c>
      <c r="F28" s="11">
        <f>C81</f>
        <v>0</v>
      </c>
      <c r="G28" s="10">
        <f t="shared" ref="G28:Y28" si="1">D81</f>
        <v>0</v>
      </c>
      <c r="H28" s="10">
        <f t="shared" si="1"/>
        <v>0</v>
      </c>
      <c r="I28" s="12">
        <f t="shared" si="1"/>
        <v>0</v>
      </c>
      <c r="J28" s="11">
        <f t="shared" si="1"/>
        <v>0</v>
      </c>
      <c r="K28" s="10">
        <f t="shared" si="1"/>
        <v>0</v>
      </c>
      <c r="L28" s="10">
        <f t="shared" si="1"/>
        <v>0</v>
      </c>
      <c r="M28" s="12">
        <f t="shared" si="1"/>
        <v>0</v>
      </c>
      <c r="N28" s="11">
        <f t="shared" si="1"/>
        <v>0</v>
      </c>
      <c r="O28" s="10">
        <f t="shared" si="1"/>
        <v>0</v>
      </c>
      <c r="P28" s="10">
        <f t="shared" si="1"/>
        <v>0</v>
      </c>
      <c r="Q28" s="12">
        <f t="shared" si="1"/>
        <v>0</v>
      </c>
      <c r="R28" s="11">
        <f t="shared" si="1"/>
        <v>0</v>
      </c>
      <c r="S28" s="10">
        <f t="shared" si="1"/>
        <v>0</v>
      </c>
      <c r="T28" s="10">
        <f t="shared" si="1"/>
        <v>0</v>
      </c>
      <c r="U28" s="12">
        <f t="shared" si="1"/>
        <v>0</v>
      </c>
      <c r="V28" s="11">
        <f t="shared" si="1"/>
        <v>0</v>
      </c>
      <c r="W28" s="10">
        <f t="shared" si="1"/>
        <v>0</v>
      </c>
      <c r="X28" s="10">
        <f t="shared" si="1"/>
        <v>0</v>
      </c>
      <c r="Y28" s="12">
        <f t="shared" si="1"/>
        <v>0</v>
      </c>
    </row>
    <row r="29" spans="1:25" s="3" customFormat="1" ht="15" x14ac:dyDescent="0.25">
      <c r="A29" s="3" t="s">
        <v>7</v>
      </c>
      <c r="F29" s="14">
        <f>SUM(F27:F28)</f>
        <v>0</v>
      </c>
      <c r="G29" s="13">
        <f t="shared" ref="G29:Y29" si="2">SUM(G27:G28)</f>
        <v>0</v>
      </c>
      <c r="H29" s="13">
        <f t="shared" si="2"/>
        <v>0</v>
      </c>
      <c r="I29" s="15">
        <f t="shared" si="2"/>
        <v>0</v>
      </c>
      <c r="J29" s="14">
        <f t="shared" si="2"/>
        <v>0</v>
      </c>
      <c r="K29" s="13">
        <f t="shared" si="2"/>
        <v>0</v>
      </c>
      <c r="L29" s="13">
        <f t="shared" si="2"/>
        <v>0</v>
      </c>
      <c r="M29" s="15">
        <f t="shared" si="2"/>
        <v>0</v>
      </c>
      <c r="N29" s="14">
        <f t="shared" si="2"/>
        <v>0</v>
      </c>
      <c r="O29" s="13">
        <f t="shared" si="2"/>
        <v>0</v>
      </c>
      <c r="P29" s="13">
        <f t="shared" si="2"/>
        <v>0</v>
      </c>
      <c r="Q29" s="15">
        <f t="shared" si="2"/>
        <v>0</v>
      </c>
      <c r="R29" s="14">
        <f t="shared" si="2"/>
        <v>0</v>
      </c>
      <c r="S29" s="13">
        <f t="shared" si="2"/>
        <v>0</v>
      </c>
      <c r="T29" s="13">
        <f t="shared" si="2"/>
        <v>0</v>
      </c>
      <c r="U29" s="15">
        <f t="shared" si="2"/>
        <v>0</v>
      </c>
      <c r="V29" s="14">
        <f t="shared" si="2"/>
        <v>0</v>
      </c>
      <c r="W29" s="13">
        <f t="shared" si="2"/>
        <v>0</v>
      </c>
      <c r="X29" s="13">
        <f t="shared" si="2"/>
        <v>0</v>
      </c>
      <c r="Y29" s="15">
        <f t="shared" si="2"/>
        <v>0</v>
      </c>
    </row>
    <row r="30" spans="1:25" s="3" customFormat="1" ht="15" x14ac:dyDescent="0.25">
      <c r="F30" s="368">
        <f>SUM(F29:I29)</f>
        <v>0</v>
      </c>
      <c r="G30" s="369"/>
      <c r="H30" s="369"/>
      <c r="I30" s="370"/>
      <c r="J30" s="368">
        <f t="shared" ref="J30" si="3">SUM(J29:M29)</f>
        <v>0</v>
      </c>
      <c r="K30" s="369"/>
      <c r="L30" s="369"/>
      <c r="M30" s="370"/>
      <c r="N30" s="368">
        <f t="shared" ref="N30" si="4">SUM(N29:Q29)</f>
        <v>0</v>
      </c>
      <c r="O30" s="369"/>
      <c r="P30" s="369"/>
      <c r="Q30" s="370"/>
      <c r="R30" s="368">
        <f t="shared" ref="R30" si="5">SUM(R29:U29)</f>
        <v>0</v>
      </c>
      <c r="S30" s="369"/>
      <c r="T30" s="369"/>
      <c r="U30" s="370"/>
      <c r="V30" s="368">
        <f t="shared" ref="V30" si="6">SUM(V29:Y29)</f>
        <v>0</v>
      </c>
      <c r="W30" s="369"/>
      <c r="X30" s="369"/>
      <c r="Y30" s="370"/>
    </row>
    <row r="31" spans="1:25" s="41" customFormat="1" ht="15" thickBot="1" x14ac:dyDescent="0.25"/>
    <row r="32" spans="1:25" ht="15" thickTop="1" x14ac:dyDescent="0.2"/>
    <row r="33" spans="1:3" ht="15" thickBot="1" x14ac:dyDescent="0.25"/>
    <row r="34" spans="1:3" s="17" customFormat="1" ht="27.75" thickTop="1" thickBot="1" x14ac:dyDescent="0.45">
      <c r="A34" s="373" t="s">
        <v>181</v>
      </c>
      <c r="B34" s="373"/>
      <c r="C34" s="374"/>
    </row>
    <row r="35" spans="1:3" s="18" customFormat="1" ht="15" thickTop="1" x14ac:dyDescent="0.2"/>
    <row r="36" spans="1:3" s="18" customFormat="1" x14ac:dyDescent="0.2">
      <c r="A36" s="18" t="s">
        <v>114</v>
      </c>
    </row>
    <row r="37" spans="1:3" s="18" customFormat="1" x14ac:dyDescent="0.2">
      <c r="A37" s="18" t="s">
        <v>74</v>
      </c>
    </row>
    <row r="38" spans="1:3" s="18" customFormat="1" x14ac:dyDescent="0.2">
      <c r="A38" s="51" t="str">
        <f>'Параметры инвестиции'!A24</f>
        <v>Депозит по аренде цеха на 6 месяцев</v>
      </c>
      <c r="B38" s="51">
        <f>'Параметры инвестиции'!B24</f>
        <v>3156600</v>
      </c>
    </row>
    <row r="39" spans="1:3" s="18" customFormat="1" x14ac:dyDescent="0.2">
      <c r="A39" s="51" t="str">
        <f>'Параметры инвестиции'!A25</f>
        <v>Депозит по аренде офиса на 3 месяца</v>
      </c>
      <c r="B39" s="51">
        <f>'Параметры инвестиции'!B25</f>
        <v>241857</v>
      </c>
    </row>
    <row r="40" spans="1:3" s="18" customFormat="1" x14ac:dyDescent="0.2">
      <c r="A40" s="51" t="str">
        <f>'Параметры инвестиции'!A26</f>
        <v>Расчет инвестиций в цех (оборудование, инструмент, мебель)</v>
      </c>
      <c r="B40" s="51">
        <f>'Параметры инвестиции'!B26</f>
        <v>14954525</v>
      </c>
    </row>
    <row r="41" spans="1:3" s="18" customFormat="1" x14ac:dyDescent="0.2">
      <c r="A41" s="51" t="str">
        <f>'Параметры инвестиции'!A27</f>
        <v>Покупка автотранспортных средств</v>
      </c>
      <c r="B41" s="51">
        <f>'Параметры инвестиции'!B27</f>
        <v>13500000</v>
      </c>
    </row>
    <row r="42" spans="1:3" s="18" customFormat="1" x14ac:dyDescent="0.2">
      <c r="A42" s="51" t="str">
        <f>'Параметры инвестиции'!A28</f>
        <v>Расчет инвестиций в офис (мебель и оргтехника)</v>
      </c>
      <c r="B42" s="51">
        <f>'Параметры инвестиции'!B28</f>
        <v>447266</v>
      </c>
    </row>
    <row r="43" spans="1:3" s="18" customFormat="1" x14ac:dyDescent="0.2">
      <c r="A43" s="51" t="str">
        <f>'Параметры инвестиции'!A29</f>
        <v>Подготовительные работы</v>
      </c>
      <c r="B43" s="51">
        <f>'Параметры инвестиции'!B29</f>
        <v>300000</v>
      </c>
    </row>
    <row r="44" spans="1:3" s="18" customFormat="1" x14ac:dyDescent="0.2">
      <c r="A44" s="51" t="str">
        <f>'Параметры инвестиции'!A30</f>
        <v>Маркетинг и реклама</v>
      </c>
      <c r="B44" s="51">
        <f>'Параметры инвестиции'!B30</f>
        <v>300000</v>
      </c>
    </row>
    <row r="45" spans="1:3" s="18" customFormat="1" x14ac:dyDescent="0.2">
      <c r="A45" s="51" t="str">
        <f>'Параметры инвестиции'!A31</f>
        <v>Прочие, 10% от инвестиций выше</v>
      </c>
      <c r="B45" s="51">
        <f>'Параметры инвестиции'!B31</f>
        <v>3290024.8000000003</v>
      </c>
    </row>
    <row r="46" spans="1:3" s="18" customFormat="1" x14ac:dyDescent="0.2">
      <c r="A46" s="51" t="str">
        <f>'Параметры инвестиции'!A32</f>
        <v>Оборотный капитал</v>
      </c>
      <c r="B46" s="51">
        <f>'Параметры инвестиции'!B32</f>
        <v>41683189.558424994</v>
      </c>
    </row>
    <row r="47" spans="1:3" s="18" customFormat="1" ht="15" x14ac:dyDescent="0.25">
      <c r="A47" s="81" t="s">
        <v>61</v>
      </c>
      <c r="B47" s="81">
        <f>SUM(B38:B46)</f>
        <v>77873462.358424991</v>
      </c>
    </row>
    <row r="48" spans="1:3" s="18" customFormat="1" x14ac:dyDescent="0.2"/>
    <row r="49" spans="1:6" s="18" customFormat="1" x14ac:dyDescent="0.2"/>
    <row r="50" spans="1:6" s="18" customFormat="1" ht="15" x14ac:dyDescent="0.25">
      <c r="A50" s="55" t="s">
        <v>113</v>
      </c>
    </row>
    <row r="51" spans="1:6" s="18" customFormat="1" x14ac:dyDescent="0.2">
      <c r="A51" s="18" t="s">
        <v>115</v>
      </c>
      <c r="B51" s="27">
        <v>1</v>
      </c>
      <c r="E51" s="116">
        <f>'Параметры инвестиции'!E23</f>
        <v>690807.6114385426</v>
      </c>
      <c r="F51" s="18" t="str">
        <f>'Параметры инвестиции'!F23</f>
        <v>Наличие или отсутствие кассовых разрывов</v>
      </c>
    </row>
    <row r="52" spans="1:6" s="18" customFormat="1" x14ac:dyDescent="0.2">
      <c r="A52" s="18" t="s">
        <v>116</v>
      </c>
      <c r="B52" s="32">
        <f>B53-B51</f>
        <v>0</v>
      </c>
      <c r="E52" s="304">
        <f>'Параметры инвестиции'!E24</f>
        <v>3.25</v>
      </c>
      <c r="F52" s="18" t="str">
        <f>'Параметры инвестиции'!F24</f>
        <v>Срок окупаемости</v>
      </c>
    </row>
    <row r="53" spans="1:6" s="18" customFormat="1" x14ac:dyDescent="0.2">
      <c r="A53" s="18" t="s">
        <v>61</v>
      </c>
      <c r="B53" s="32">
        <v>1</v>
      </c>
      <c r="E53" s="116">
        <f>'Параметры инвестиции'!E25</f>
        <v>959396.4610064748</v>
      </c>
      <c r="F53" s="18" t="str">
        <f>'Параметры инвестиции'!F25</f>
        <v>ЧДД</v>
      </c>
    </row>
    <row r="54" spans="1:6" s="18" customFormat="1" x14ac:dyDescent="0.2">
      <c r="E54" s="125">
        <f>'Параметры инвестиции'!E26</f>
        <v>0.2</v>
      </c>
      <c r="F54" s="18" t="str">
        <f>'Параметры инвестиции'!F26</f>
        <v>WACC</v>
      </c>
    </row>
    <row r="55" spans="1:6" s="18" customFormat="1" x14ac:dyDescent="0.2">
      <c r="A55" s="18" t="s">
        <v>117</v>
      </c>
      <c r="E55" s="125">
        <f>'Параметры инвестиции'!E27</f>
        <v>0.2051078541210396</v>
      </c>
      <c r="F55" s="18" t="str">
        <f>'Параметры инвестиции'!F27</f>
        <v>ВНД</v>
      </c>
    </row>
    <row r="56" spans="1:6" s="18" customFormat="1" x14ac:dyDescent="0.2">
      <c r="A56" s="18" t="s">
        <v>115</v>
      </c>
      <c r="B56" s="51">
        <f>B51*B47</f>
        <v>77873462.358424991</v>
      </c>
      <c r="E56" s="125">
        <f>'Параметры инвестиции'!E28</f>
        <v>0.70635521468244888</v>
      </c>
      <c r="F56" s="18" t="str">
        <f>'Параметры инвестиции'!F28</f>
        <v>Точка безубыточности без кредита, %</v>
      </c>
    </row>
    <row r="57" spans="1:6" s="18" customFormat="1" x14ac:dyDescent="0.2">
      <c r="A57" s="18" t="s">
        <v>185</v>
      </c>
      <c r="B57" s="51">
        <f>C96</f>
        <v>5143647.2782630194</v>
      </c>
      <c r="E57" s="116">
        <f>'Параметры инвестиции'!E29</f>
        <v>46916113.359208256</v>
      </c>
      <c r="F57" s="18" t="str">
        <f>'Параметры инвестиции'!F29</f>
        <v>Точка безубыточности, в денежном выражении</v>
      </c>
    </row>
    <row r="58" spans="1:6" s="18" customFormat="1" x14ac:dyDescent="0.2">
      <c r="A58" s="18" t="s">
        <v>116</v>
      </c>
      <c r="B58" s="51">
        <f>B52*B47</f>
        <v>0</v>
      </c>
      <c r="E58" s="125">
        <f>'Параметры инвестиции'!E30</f>
        <v>0.70635521468244888</v>
      </c>
      <c r="F58" s="18" t="str">
        <f>'Параметры инвестиции'!F30</f>
        <v>Точка безубыточности с кредитом, %</v>
      </c>
    </row>
    <row r="59" spans="1:6" s="18" customFormat="1" x14ac:dyDescent="0.2">
      <c r="A59" s="18" t="s">
        <v>61</v>
      </c>
      <c r="B59" s="51">
        <f>SUM(B56:B58)</f>
        <v>83017109.636688009</v>
      </c>
      <c r="E59" s="116">
        <f>'Параметры инвестиции'!E31</f>
        <v>1</v>
      </c>
      <c r="F59" s="18" t="str">
        <f>'Параметры инвестиции'!F31</f>
        <v>В каком квартале начинаем возвращать кредит</v>
      </c>
    </row>
    <row r="60" spans="1:6" s="18" customFormat="1" x14ac:dyDescent="0.2"/>
    <row r="61" spans="1:6" s="18" customFormat="1" x14ac:dyDescent="0.2"/>
    <row r="62" spans="1:6" s="18" customFormat="1" ht="15" x14ac:dyDescent="0.25">
      <c r="A62" s="55" t="s">
        <v>118</v>
      </c>
    </row>
    <row r="63" spans="1:6" s="18" customFormat="1" x14ac:dyDescent="0.2">
      <c r="A63" s="18" t="s">
        <v>119</v>
      </c>
      <c r="B63" s="307">
        <f>B143</f>
        <v>0.16</v>
      </c>
      <c r="C63" s="18" t="s">
        <v>419</v>
      </c>
    </row>
    <row r="64" spans="1:6" s="18" customFormat="1" x14ac:dyDescent="0.2">
      <c r="A64" s="18" t="s">
        <v>120</v>
      </c>
      <c r="B64" s="78">
        <v>5</v>
      </c>
    </row>
    <row r="65" spans="1:23" s="18" customFormat="1" x14ac:dyDescent="0.2">
      <c r="A65" s="18" t="s">
        <v>121</v>
      </c>
      <c r="B65" s="78">
        <v>0</v>
      </c>
    </row>
    <row r="66" spans="1:23" s="18" customFormat="1" x14ac:dyDescent="0.2">
      <c r="A66" s="18" t="s">
        <v>122</v>
      </c>
      <c r="B66" s="78">
        <v>0</v>
      </c>
    </row>
    <row r="67" spans="1:23" s="18" customFormat="1" x14ac:dyDescent="0.2"/>
    <row r="68" spans="1:23" s="18" customFormat="1" x14ac:dyDescent="0.2"/>
    <row r="69" spans="1:23" s="18" customFormat="1" x14ac:dyDescent="0.2"/>
    <row r="70" spans="1:23" s="18" customFormat="1" x14ac:dyDescent="0.2">
      <c r="A70" s="18" t="s">
        <v>123</v>
      </c>
      <c r="B70" s="51">
        <f>B58</f>
        <v>0</v>
      </c>
    </row>
    <row r="71" spans="1:23" s="18" customFormat="1" x14ac:dyDescent="0.2">
      <c r="A71" s="18" t="s">
        <v>182</v>
      </c>
      <c r="B71" s="85">
        <f>B63/4</f>
        <v>0.04</v>
      </c>
    </row>
    <row r="72" spans="1:23" s="18" customFormat="1" x14ac:dyDescent="0.2">
      <c r="A72" s="18" t="s">
        <v>124</v>
      </c>
      <c r="B72" s="18">
        <f>B64-B65</f>
        <v>5</v>
      </c>
    </row>
    <row r="73" spans="1:23" s="18" customFormat="1" x14ac:dyDescent="0.2">
      <c r="A73" s="18" t="s">
        <v>183</v>
      </c>
      <c r="B73" s="51">
        <f>B70/B72/4</f>
        <v>0</v>
      </c>
    </row>
    <row r="74" spans="1:23" s="18" customFormat="1" x14ac:dyDescent="0.2">
      <c r="C74" s="378" t="s">
        <v>34</v>
      </c>
      <c r="D74" s="379"/>
      <c r="E74" s="379"/>
      <c r="F74" s="380"/>
      <c r="G74" s="378" t="s">
        <v>35</v>
      </c>
      <c r="H74" s="379"/>
      <c r="I74" s="379"/>
      <c r="J74" s="380"/>
      <c r="K74" s="378" t="s">
        <v>36</v>
      </c>
      <c r="L74" s="379"/>
      <c r="M74" s="379"/>
      <c r="N74" s="380"/>
      <c r="O74" s="378" t="s">
        <v>37</v>
      </c>
      <c r="P74" s="379"/>
      <c r="Q74" s="379"/>
      <c r="R74" s="380"/>
      <c r="S74" s="378" t="s">
        <v>38</v>
      </c>
      <c r="T74" s="379"/>
      <c r="U74" s="379"/>
      <c r="V74" s="380"/>
    </row>
    <row r="75" spans="1:23" s="18" customFormat="1" x14ac:dyDescent="0.2">
      <c r="C75" s="86">
        <v>1</v>
      </c>
      <c r="D75" s="18">
        <v>2</v>
      </c>
      <c r="E75" s="18">
        <v>3</v>
      </c>
      <c r="F75" s="87">
        <v>4</v>
      </c>
      <c r="G75" s="86">
        <v>5</v>
      </c>
      <c r="H75" s="18">
        <v>6</v>
      </c>
      <c r="I75" s="18">
        <v>7</v>
      </c>
      <c r="J75" s="87">
        <v>8</v>
      </c>
      <c r="K75" s="86">
        <v>9</v>
      </c>
      <c r="L75" s="18">
        <v>10</v>
      </c>
      <c r="M75" s="18">
        <v>11</v>
      </c>
      <c r="N75" s="87">
        <v>12</v>
      </c>
      <c r="O75" s="86">
        <v>13</v>
      </c>
      <c r="P75" s="18">
        <v>14</v>
      </c>
      <c r="Q75" s="18">
        <v>15</v>
      </c>
      <c r="R75" s="87">
        <v>16</v>
      </c>
      <c r="S75" s="86">
        <v>17</v>
      </c>
      <c r="T75" s="18">
        <v>18</v>
      </c>
      <c r="U75" s="18">
        <v>19</v>
      </c>
      <c r="V75" s="87">
        <v>20</v>
      </c>
    </row>
    <row r="76" spans="1:23" s="18" customFormat="1" x14ac:dyDescent="0.2">
      <c r="A76" s="18" t="s">
        <v>125</v>
      </c>
      <c r="C76" s="86">
        <f t="shared" ref="C76:V76" si="7">IF(C75&gt;4*$B$65,1,0)*IF(C75&gt;4*$B$64,0,1)</f>
        <v>1</v>
      </c>
      <c r="D76" s="18">
        <f t="shared" si="7"/>
        <v>1</v>
      </c>
      <c r="E76" s="18">
        <f t="shared" si="7"/>
        <v>1</v>
      </c>
      <c r="F76" s="87">
        <f t="shared" si="7"/>
        <v>1</v>
      </c>
      <c r="G76" s="86">
        <f t="shared" si="7"/>
        <v>1</v>
      </c>
      <c r="H76" s="18">
        <f t="shared" si="7"/>
        <v>1</v>
      </c>
      <c r="I76" s="18">
        <f t="shared" si="7"/>
        <v>1</v>
      </c>
      <c r="J76" s="87">
        <f t="shared" si="7"/>
        <v>1</v>
      </c>
      <c r="K76" s="86">
        <f t="shared" si="7"/>
        <v>1</v>
      </c>
      <c r="L76" s="18">
        <f t="shared" si="7"/>
        <v>1</v>
      </c>
      <c r="M76" s="18">
        <f t="shared" si="7"/>
        <v>1</v>
      </c>
      <c r="N76" s="87">
        <f t="shared" si="7"/>
        <v>1</v>
      </c>
      <c r="O76" s="86">
        <f t="shared" si="7"/>
        <v>1</v>
      </c>
      <c r="P76" s="18">
        <f t="shared" si="7"/>
        <v>1</v>
      </c>
      <c r="Q76" s="18">
        <f t="shared" si="7"/>
        <v>1</v>
      </c>
      <c r="R76" s="87">
        <f t="shared" si="7"/>
        <v>1</v>
      </c>
      <c r="S76" s="86">
        <f t="shared" si="7"/>
        <v>1</v>
      </c>
      <c r="T76" s="18">
        <f t="shared" si="7"/>
        <v>1</v>
      </c>
      <c r="U76" s="18">
        <f t="shared" si="7"/>
        <v>1</v>
      </c>
      <c r="V76" s="87">
        <f t="shared" si="7"/>
        <v>1</v>
      </c>
    </row>
    <row r="77" spans="1:23" s="18" customFormat="1" x14ac:dyDescent="0.2">
      <c r="A77" s="18" t="s">
        <v>126</v>
      </c>
      <c r="C77" s="86">
        <f>IF(C75&gt;4*$B$66,1,0)*IF(C75&gt;4*$B$64,0,1)</f>
        <v>1</v>
      </c>
      <c r="D77" s="18">
        <f>IF(D75&gt;4*$B$66,1,0)*IF(D75&gt;4*$B$64,0,1)</f>
        <v>1</v>
      </c>
      <c r="E77" s="18">
        <f>IF(E75&gt;4*$B$66,1,0)*IF(E75&gt;4*$B$64,0,1)</f>
        <v>1</v>
      </c>
      <c r="F77" s="87">
        <f>IF(F75&gt;4*$B$66,1,0)*IF(F75&gt;4*$B$64,0,1)</f>
        <v>1</v>
      </c>
      <c r="G77" s="86">
        <f t="shared" ref="G77:V77" si="8">IF(G75&gt;4*$B$66,1,0)*IF(G75&gt;4*$B$64,0,1)</f>
        <v>1</v>
      </c>
      <c r="H77" s="18">
        <f t="shared" si="8"/>
        <v>1</v>
      </c>
      <c r="I77" s="18">
        <f t="shared" si="8"/>
        <v>1</v>
      </c>
      <c r="J77" s="87">
        <f t="shared" si="8"/>
        <v>1</v>
      </c>
      <c r="K77" s="86">
        <f t="shared" si="8"/>
        <v>1</v>
      </c>
      <c r="L77" s="18">
        <f t="shared" si="8"/>
        <v>1</v>
      </c>
      <c r="M77" s="18">
        <f t="shared" si="8"/>
        <v>1</v>
      </c>
      <c r="N77" s="87">
        <f t="shared" si="8"/>
        <v>1</v>
      </c>
      <c r="O77" s="86">
        <f t="shared" si="8"/>
        <v>1</v>
      </c>
      <c r="P77" s="18">
        <f t="shared" si="8"/>
        <v>1</v>
      </c>
      <c r="Q77" s="18">
        <f t="shared" si="8"/>
        <v>1</v>
      </c>
      <c r="R77" s="87">
        <f t="shared" si="8"/>
        <v>1</v>
      </c>
      <c r="S77" s="86">
        <f t="shared" si="8"/>
        <v>1</v>
      </c>
      <c r="T77" s="18">
        <f t="shared" si="8"/>
        <v>1</v>
      </c>
      <c r="U77" s="18">
        <f t="shared" si="8"/>
        <v>1</v>
      </c>
      <c r="V77" s="87">
        <f t="shared" si="8"/>
        <v>1</v>
      </c>
    </row>
    <row r="78" spans="1:23" s="18" customFormat="1" x14ac:dyDescent="0.2">
      <c r="A78" s="18" t="s">
        <v>127</v>
      </c>
      <c r="C78" s="86" t="str">
        <f>'Параметры Доходы'!F4</f>
        <v>1 кв.</v>
      </c>
      <c r="D78" s="18" t="str">
        <f>'Параметры Доходы'!G4</f>
        <v>2 кв.</v>
      </c>
      <c r="E78" s="18" t="str">
        <f>'Параметры Доходы'!H4</f>
        <v>3 кв.</v>
      </c>
      <c r="F78" s="87" t="str">
        <f>'Параметры Доходы'!I4</f>
        <v>4 кв.</v>
      </c>
      <c r="G78" s="86" t="str">
        <f>'Параметры Доходы'!J4</f>
        <v>5 кв.</v>
      </c>
      <c r="H78" s="18" t="str">
        <f>'Параметры Доходы'!K4</f>
        <v>6 кв.</v>
      </c>
      <c r="I78" s="18" t="str">
        <f>'Параметры Доходы'!L4</f>
        <v>7 кв.</v>
      </c>
      <c r="J78" s="87" t="str">
        <f>'Параметры Доходы'!M4</f>
        <v>8 кв.</v>
      </c>
      <c r="K78" s="86" t="str">
        <f>'Параметры Доходы'!N4</f>
        <v>9 кв.</v>
      </c>
      <c r="L78" s="18" t="str">
        <f>'Параметры Доходы'!O4</f>
        <v>10 кв.</v>
      </c>
      <c r="M78" s="18" t="str">
        <f>'Параметры Доходы'!P4</f>
        <v>11 кв.</v>
      </c>
      <c r="N78" s="87" t="str">
        <f>'Параметры Доходы'!Q4</f>
        <v>12 кв.</v>
      </c>
      <c r="O78" s="86" t="str">
        <f>'Параметры Доходы'!R4</f>
        <v>13 кв.</v>
      </c>
      <c r="P78" s="18" t="str">
        <f>'Параметры Доходы'!S4</f>
        <v>14 кв.</v>
      </c>
      <c r="Q78" s="18" t="str">
        <f>'Параметры Доходы'!T4</f>
        <v>15 кв.</v>
      </c>
      <c r="R78" s="87" t="str">
        <f>'Параметры Доходы'!U4</f>
        <v>16 кв.</v>
      </c>
      <c r="S78" s="86" t="str">
        <f>'Параметры Доходы'!V4</f>
        <v>17 кв.</v>
      </c>
      <c r="T78" s="18" t="str">
        <f>'Параметры Доходы'!W4</f>
        <v>18 кв.</v>
      </c>
      <c r="U78" s="18" t="str">
        <f>'Параметры Доходы'!X4</f>
        <v>19 кв.</v>
      </c>
      <c r="V78" s="87" t="str">
        <f>'Параметры Доходы'!Y4</f>
        <v>20 кв.</v>
      </c>
      <c r="W78" s="18" t="s">
        <v>7</v>
      </c>
    </row>
    <row r="79" spans="1:23" s="18" customFormat="1" x14ac:dyDescent="0.2">
      <c r="A79" s="18" t="s">
        <v>123</v>
      </c>
      <c r="C79" s="88">
        <f>B70</f>
        <v>0</v>
      </c>
      <c r="D79" s="51">
        <f>C79-C80</f>
        <v>0</v>
      </c>
      <c r="E79" s="51">
        <f>D79-D80</f>
        <v>0</v>
      </c>
      <c r="F79" s="89">
        <f>E79-E80</f>
        <v>0</v>
      </c>
      <c r="G79" s="88">
        <f>F79-F80</f>
        <v>0</v>
      </c>
      <c r="H79" s="51">
        <f t="shared" ref="H79:V79" si="9">G79-G80</f>
        <v>0</v>
      </c>
      <c r="I79" s="51">
        <f t="shared" si="9"/>
        <v>0</v>
      </c>
      <c r="J79" s="89">
        <f t="shared" si="9"/>
        <v>0</v>
      </c>
      <c r="K79" s="88">
        <f t="shared" si="9"/>
        <v>0</v>
      </c>
      <c r="L79" s="51">
        <f t="shared" si="9"/>
        <v>0</v>
      </c>
      <c r="M79" s="51">
        <f t="shared" si="9"/>
        <v>0</v>
      </c>
      <c r="N79" s="89">
        <f t="shared" si="9"/>
        <v>0</v>
      </c>
      <c r="O79" s="88">
        <f t="shared" si="9"/>
        <v>0</v>
      </c>
      <c r="P79" s="51">
        <f t="shared" si="9"/>
        <v>0</v>
      </c>
      <c r="Q79" s="51">
        <f t="shared" si="9"/>
        <v>0</v>
      </c>
      <c r="R79" s="89">
        <f t="shared" si="9"/>
        <v>0</v>
      </c>
      <c r="S79" s="88">
        <f t="shared" si="9"/>
        <v>0</v>
      </c>
      <c r="T79" s="51">
        <f t="shared" si="9"/>
        <v>0</v>
      </c>
      <c r="U79" s="51">
        <f t="shared" si="9"/>
        <v>0</v>
      </c>
      <c r="V79" s="89">
        <f t="shared" si="9"/>
        <v>0</v>
      </c>
      <c r="W79" s="51"/>
    </row>
    <row r="80" spans="1:23" s="18" customFormat="1" ht="15" x14ac:dyDescent="0.25">
      <c r="A80" s="18" t="s">
        <v>128</v>
      </c>
      <c r="C80" s="88">
        <f>$B$73*C76</f>
        <v>0</v>
      </c>
      <c r="D80" s="51">
        <f>$B$73*D76</f>
        <v>0</v>
      </c>
      <c r="E80" s="51">
        <f>$B$73*E76</f>
        <v>0</v>
      </c>
      <c r="F80" s="89">
        <f>$B$73*F76</f>
        <v>0</v>
      </c>
      <c r="G80" s="88">
        <f t="shared" ref="G80:V80" si="10">$B$73*G76</f>
        <v>0</v>
      </c>
      <c r="H80" s="51">
        <f t="shared" si="10"/>
        <v>0</v>
      </c>
      <c r="I80" s="51">
        <f t="shared" si="10"/>
        <v>0</v>
      </c>
      <c r="J80" s="89">
        <f t="shared" si="10"/>
        <v>0</v>
      </c>
      <c r="K80" s="88">
        <f t="shared" si="10"/>
        <v>0</v>
      </c>
      <c r="L80" s="51">
        <f t="shared" si="10"/>
        <v>0</v>
      </c>
      <c r="M80" s="51">
        <f t="shared" si="10"/>
        <v>0</v>
      </c>
      <c r="N80" s="89">
        <f t="shared" si="10"/>
        <v>0</v>
      </c>
      <c r="O80" s="88">
        <f t="shared" si="10"/>
        <v>0</v>
      </c>
      <c r="P80" s="51">
        <f t="shared" si="10"/>
        <v>0</v>
      </c>
      <c r="Q80" s="51">
        <f t="shared" si="10"/>
        <v>0</v>
      </c>
      <c r="R80" s="89">
        <f t="shared" si="10"/>
        <v>0</v>
      </c>
      <c r="S80" s="88">
        <f t="shared" si="10"/>
        <v>0</v>
      </c>
      <c r="T80" s="51">
        <f t="shared" si="10"/>
        <v>0</v>
      </c>
      <c r="U80" s="51">
        <f t="shared" si="10"/>
        <v>0</v>
      </c>
      <c r="V80" s="89">
        <f t="shared" si="10"/>
        <v>0</v>
      </c>
      <c r="W80" s="81">
        <f t="shared" ref="W80:W82" si="11">SUM(C80:V80)</f>
        <v>0</v>
      </c>
    </row>
    <row r="81" spans="1:23" s="18" customFormat="1" ht="15" x14ac:dyDescent="0.25">
      <c r="A81" s="18" t="s">
        <v>129</v>
      </c>
      <c r="C81" s="88">
        <f t="shared" ref="C81:V81" si="12">$B$71*C79*C77</f>
        <v>0</v>
      </c>
      <c r="D81" s="51">
        <f t="shared" si="12"/>
        <v>0</v>
      </c>
      <c r="E81" s="51">
        <f t="shared" si="12"/>
        <v>0</v>
      </c>
      <c r="F81" s="89">
        <f t="shared" si="12"/>
        <v>0</v>
      </c>
      <c r="G81" s="88">
        <f t="shared" si="12"/>
        <v>0</v>
      </c>
      <c r="H81" s="51">
        <f t="shared" si="12"/>
        <v>0</v>
      </c>
      <c r="I81" s="51">
        <f t="shared" si="12"/>
        <v>0</v>
      </c>
      <c r="J81" s="89">
        <f t="shared" si="12"/>
        <v>0</v>
      </c>
      <c r="K81" s="88">
        <f t="shared" si="12"/>
        <v>0</v>
      </c>
      <c r="L81" s="51">
        <f t="shared" si="12"/>
        <v>0</v>
      </c>
      <c r="M81" s="51">
        <f t="shared" si="12"/>
        <v>0</v>
      </c>
      <c r="N81" s="89">
        <f t="shared" si="12"/>
        <v>0</v>
      </c>
      <c r="O81" s="88">
        <f t="shared" si="12"/>
        <v>0</v>
      </c>
      <c r="P81" s="51">
        <f t="shared" si="12"/>
        <v>0</v>
      </c>
      <c r="Q81" s="51">
        <f t="shared" si="12"/>
        <v>0</v>
      </c>
      <c r="R81" s="89">
        <f t="shared" si="12"/>
        <v>0</v>
      </c>
      <c r="S81" s="88">
        <f t="shared" si="12"/>
        <v>0</v>
      </c>
      <c r="T81" s="51">
        <f t="shared" si="12"/>
        <v>0</v>
      </c>
      <c r="U81" s="51">
        <f t="shared" si="12"/>
        <v>0</v>
      </c>
      <c r="V81" s="89">
        <f t="shared" si="12"/>
        <v>0</v>
      </c>
      <c r="W81" s="81">
        <f t="shared" si="11"/>
        <v>0</v>
      </c>
    </row>
    <row r="82" spans="1:23" s="18" customFormat="1" ht="15" x14ac:dyDescent="0.25">
      <c r="A82" s="55" t="s">
        <v>421</v>
      </c>
      <c r="B82" s="55"/>
      <c r="C82" s="90">
        <f>C80+C81</f>
        <v>0</v>
      </c>
      <c r="D82" s="81">
        <f>D80+D81</f>
        <v>0</v>
      </c>
      <c r="E82" s="81">
        <f>E80+E81</f>
        <v>0</v>
      </c>
      <c r="F82" s="91">
        <f>F80+F81</f>
        <v>0</v>
      </c>
      <c r="G82" s="90">
        <f t="shared" ref="G82:V82" si="13">G80+G81</f>
        <v>0</v>
      </c>
      <c r="H82" s="81">
        <f t="shared" si="13"/>
        <v>0</v>
      </c>
      <c r="I82" s="81">
        <f t="shared" si="13"/>
        <v>0</v>
      </c>
      <c r="J82" s="91">
        <f t="shared" si="13"/>
        <v>0</v>
      </c>
      <c r="K82" s="90">
        <f t="shared" si="13"/>
        <v>0</v>
      </c>
      <c r="L82" s="81">
        <f t="shared" si="13"/>
        <v>0</v>
      </c>
      <c r="M82" s="81">
        <f t="shared" si="13"/>
        <v>0</v>
      </c>
      <c r="N82" s="91">
        <f t="shared" si="13"/>
        <v>0</v>
      </c>
      <c r="O82" s="90">
        <f t="shared" si="13"/>
        <v>0</v>
      </c>
      <c r="P82" s="81">
        <f t="shared" si="13"/>
        <v>0</v>
      </c>
      <c r="Q82" s="81">
        <f t="shared" si="13"/>
        <v>0</v>
      </c>
      <c r="R82" s="91">
        <f t="shared" si="13"/>
        <v>0</v>
      </c>
      <c r="S82" s="90">
        <f t="shared" si="13"/>
        <v>0</v>
      </c>
      <c r="T82" s="81">
        <f t="shared" si="13"/>
        <v>0</v>
      </c>
      <c r="U82" s="81">
        <f t="shared" si="13"/>
        <v>0</v>
      </c>
      <c r="V82" s="91">
        <f t="shared" si="13"/>
        <v>0</v>
      </c>
      <c r="W82" s="81">
        <f t="shared" si="11"/>
        <v>0</v>
      </c>
    </row>
    <row r="83" spans="1:23" s="18" customFormat="1" x14ac:dyDescent="0.2">
      <c r="C83" s="381">
        <f>SUM(C82:F82)</f>
        <v>0</v>
      </c>
      <c r="D83" s="379"/>
      <c r="E83" s="379"/>
      <c r="F83" s="380"/>
      <c r="G83" s="381">
        <f t="shared" ref="G83" si="14">SUM(G82:J82)</f>
        <v>0</v>
      </c>
      <c r="H83" s="379"/>
      <c r="I83" s="379"/>
      <c r="J83" s="380"/>
      <c r="K83" s="381">
        <f t="shared" ref="K83" si="15">SUM(K82:N82)</f>
        <v>0</v>
      </c>
      <c r="L83" s="379"/>
      <c r="M83" s="379"/>
      <c r="N83" s="380"/>
      <c r="O83" s="381">
        <f t="shared" ref="O83" si="16">SUM(O82:R82)</f>
        <v>0</v>
      </c>
      <c r="P83" s="379"/>
      <c r="Q83" s="379"/>
      <c r="R83" s="380"/>
      <c r="S83" s="381">
        <f t="shared" ref="S83" si="17">SUM(S82:V82)</f>
        <v>0</v>
      </c>
      <c r="T83" s="379"/>
      <c r="U83" s="379"/>
      <c r="V83" s="380"/>
    </row>
    <row r="84" spans="1:23" s="18" customFormat="1" x14ac:dyDescent="0.2"/>
    <row r="85" spans="1:23" s="18" customFormat="1" x14ac:dyDescent="0.2"/>
    <row r="86" spans="1:23" s="18" customFormat="1" x14ac:dyDescent="0.2">
      <c r="A86" s="18" t="s">
        <v>130</v>
      </c>
      <c r="C86" s="18" t="str">
        <f>C78</f>
        <v>1 кв.</v>
      </c>
      <c r="D86" s="18" t="str">
        <f>D78</f>
        <v>2 кв.</v>
      </c>
      <c r="E86" s="18" t="str">
        <f>E78</f>
        <v>3 кв.</v>
      </c>
      <c r="F86" s="18" t="str">
        <f>F78</f>
        <v>4 кв.</v>
      </c>
      <c r="G86" s="18" t="str">
        <f t="shared" ref="G86:N86" si="18">G78</f>
        <v>5 кв.</v>
      </c>
      <c r="H86" s="18" t="str">
        <f t="shared" si="18"/>
        <v>6 кв.</v>
      </c>
      <c r="I86" s="18" t="str">
        <f t="shared" si="18"/>
        <v>7 кв.</v>
      </c>
      <c r="J86" s="18" t="str">
        <f t="shared" si="18"/>
        <v>8 кв.</v>
      </c>
      <c r="K86" s="18" t="str">
        <f t="shared" si="18"/>
        <v>9 кв.</v>
      </c>
      <c r="L86" s="18" t="str">
        <f t="shared" si="18"/>
        <v>10 кв.</v>
      </c>
      <c r="M86" s="18" t="str">
        <f t="shared" si="18"/>
        <v>11 кв.</v>
      </c>
      <c r="N86" s="18" t="str">
        <f t="shared" si="18"/>
        <v>12 кв.</v>
      </c>
    </row>
    <row r="87" spans="1:23" s="18" customFormat="1" x14ac:dyDescent="0.2">
      <c r="A87" s="18" t="s">
        <v>131</v>
      </c>
      <c r="C87" s="51">
        <f>'Параметры Доходы'!F8</f>
        <v>0</v>
      </c>
      <c r="D87" s="51">
        <f>'Параметры Доходы'!G8</f>
        <v>39852000</v>
      </c>
      <c r="E87" s="51">
        <f>'Параметры Доходы'!H8</f>
        <v>46494000</v>
      </c>
      <c r="F87" s="51">
        <f>'Параметры Доходы'!I8</f>
        <v>53136000</v>
      </c>
      <c r="G87" s="51">
        <f>'Параметры Доходы'!J8</f>
        <v>59778000</v>
      </c>
      <c r="H87" s="51">
        <f>'Параметры Доходы'!K8</f>
        <v>66420000</v>
      </c>
      <c r="I87" s="51">
        <f>'Параметры Доходы'!L8</f>
        <v>66420000</v>
      </c>
      <c r="J87" s="51">
        <f>'Параметры Доходы'!M8</f>
        <v>66420000</v>
      </c>
      <c r="K87" s="51">
        <f>'Параметры Доходы'!N8</f>
        <v>66420000</v>
      </c>
      <c r="L87" s="51">
        <f>'Параметры Доходы'!O8</f>
        <v>66420000</v>
      </c>
      <c r="M87" s="51">
        <f>'Параметры Доходы'!P8</f>
        <v>66420000</v>
      </c>
      <c r="N87" s="51">
        <f>'Параметры Доходы'!Q8</f>
        <v>66420000</v>
      </c>
    </row>
    <row r="88" spans="1:23" s="18" customFormat="1" x14ac:dyDescent="0.2">
      <c r="A88" s="18" t="s">
        <v>132</v>
      </c>
      <c r="C88" s="51">
        <f>'Параметры Расходы'!F29</f>
        <v>5980028.6571156234</v>
      </c>
      <c r="D88" s="51">
        <f>'Параметры Расходы'!G29</f>
        <v>38930027.784343749</v>
      </c>
      <c r="E88" s="51">
        <f>'Параметры Расходы'!H29</f>
        <v>43780438.078649998</v>
      </c>
      <c r="F88" s="51">
        <f>'Параметры Расходы'!I29</f>
        <v>47034353.878649995</v>
      </c>
      <c r="G88" s="51">
        <f>'Параметры Расходы'!J29</f>
        <v>50288269.678649992</v>
      </c>
      <c r="H88" s="51">
        <f>'Параметры Расходы'!K29</f>
        <v>53542185.478649996</v>
      </c>
      <c r="I88" s="51">
        <f>'Параметры Расходы'!L29</f>
        <v>53542185.478649996</v>
      </c>
      <c r="J88" s="51">
        <f>'Параметры Расходы'!M29</f>
        <v>53542185.478649996</v>
      </c>
      <c r="K88" s="51">
        <f>'Параметры Расходы'!N29</f>
        <v>53542185.478649996</v>
      </c>
      <c r="L88" s="51">
        <f>'Параметры Расходы'!O29</f>
        <v>53542185.478649996</v>
      </c>
      <c r="M88" s="51">
        <f>'Параметры Расходы'!P29</f>
        <v>53542185.478649996</v>
      </c>
      <c r="N88" s="51">
        <f>'Параметры Расходы'!Q29</f>
        <v>53542185.478649996</v>
      </c>
    </row>
    <row r="89" spans="1:23" s="18" customFormat="1" x14ac:dyDescent="0.2">
      <c r="A89" s="18" t="s">
        <v>133</v>
      </c>
      <c r="C89" s="51">
        <f>'Параметы Налоги'!F9</f>
        <v>-836381.37885260396</v>
      </c>
      <c r="D89" s="51">
        <f>'Параметы Налоги'!G9</f>
        <v>231164.60421770721</v>
      </c>
      <c r="E89" s="51">
        <f>'Параметы Налоги'!H9</f>
        <v>611100.56277499942</v>
      </c>
      <c r="F89" s="51">
        <f>'Параметы Налоги'!I9</f>
        <v>1673439.3959100014</v>
      </c>
      <c r="G89" s="51">
        <f>'Параметы Налоги'!J9</f>
        <v>2792306.3473300016</v>
      </c>
      <c r="H89" s="51">
        <f>'Параметы Налоги'!K9</f>
        <v>3911173.298750001</v>
      </c>
      <c r="I89" s="51">
        <f>'Параметы Налоги'!L9</f>
        <v>3900678.8501700005</v>
      </c>
      <c r="J89" s="51">
        <f>'Параметы Налоги'!M9</f>
        <v>3890184.4015900008</v>
      </c>
      <c r="K89" s="51">
        <f>'Параметы Налоги'!N9</f>
        <v>3879689.9530100008</v>
      </c>
      <c r="L89" s="51">
        <f>'Параметы Налоги'!O9</f>
        <v>3869195.5044300007</v>
      </c>
      <c r="M89" s="51">
        <f>'Параметы Налоги'!P9</f>
        <v>4157791.5558500011</v>
      </c>
      <c r="N89" s="51">
        <f>'Параметы Налоги'!Q9</f>
        <v>4162822.4182700007</v>
      </c>
    </row>
    <row r="90" spans="1:23" s="18" customFormat="1" x14ac:dyDescent="0.2">
      <c r="A90" s="18" t="s">
        <v>134</v>
      </c>
      <c r="C90" s="51">
        <f>C87-C88-C89</f>
        <v>-5143647.2782630194</v>
      </c>
      <c r="D90" s="51">
        <f>D87-D88-D89</f>
        <v>690807.61143854354</v>
      </c>
      <c r="E90" s="51">
        <f>E87-E88-E89</f>
        <v>2102461.3585750028</v>
      </c>
      <c r="F90" s="51">
        <f>F87-F88-F89</f>
        <v>4428206.7254400039</v>
      </c>
      <c r="G90" s="51">
        <f t="shared" ref="G90:N90" si="19">G87-G88-G89</f>
        <v>6697423.9740200061</v>
      </c>
      <c r="H90" s="51">
        <f t="shared" si="19"/>
        <v>8966641.2226000018</v>
      </c>
      <c r="I90" s="51">
        <f t="shared" si="19"/>
        <v>8977135.6711800024</v>
      </c>
      <c r="J90" s="51">
        <f t="shared" si="19"/>
        <v>8987630.1197600029</v>
      </c>
      <c r="K90" s="51">
        <f t="shared" si="19"/>
        <v>8998124.5683400035</v>
      </c>
      <c r="L90" s="51">
        <f t="shared" si="19"/>
        <v>9008619.016920004</v>
      </c>
      <c r="M90" s="51">
        <f t="shared" si="19"/>
        <v>8720022.9655000027</v>
      </c>
      <c r="N90" s="51">
        <f t="shared" si="19"/>
        <v>8714992.1030800026</v>
      </c>
    </row>
    <row r="91" spans="1:23" s="18" customFormat="1" x14ac:dyDescent="0.2">
      <c r="A91" s="18" t="s">
        <v>129</v>
      </c>
      <c r="C91" s="51">
        <f>C81</f>
        <v>0</v>
      </c>
      <c r="D91" s="51">
        <f>D81</f>
        <v>0</v>
      </c>
      <c r="E91" s="51">
        <f>E81</f>
        <v>0</v>
      </c>
      <c r="F91" s="51">
        <f>F81</f>
        <v>0</v>
      </c>
      <c r="G91" s="51">
        <f t="shared" ref="G91:N91" si="20">G81</f>
        <v>0</v>
      </c>
      <c r="H91" s="51">
        <f t="shared" si="20"/>
        <v>0</v>
      </c>
      <c r="I91" s="51">
        <f t="shared" si="20"/>
        <v>0</v>
      </c>
      <c r="J91" s="51">
        <f t="shared" si="20"/>
        <v>0</v>
      </c>
      <c r="K91" s="51">
        <f t="shared" si="20"/>
        <v>0</v>
      </c>
      <c r="L91" s="51">
        <f t="shared" si="20"/>
        <v>0</v>
      </c>
      <c r="M91" s="51">
        <f t="shared" si="20"/>
        <v>0</v>
      </c>
      <c r="N91" s="51">
        <f t="shared" si="20"/>
        <v>0</v>
      </c>
    </row>
    <row r="92" spans="1:23" s="18" customFormat="1" x14ac:dyDescent="0.2">
      <c r="A92" s="18" t="str">
        <f>A80</f>
        <v>Возврат тела кредита</v>
      </c>
      <c r="C92" s="51">
        <f t="shared" ref="C92:N92" si="21">C80</f>
        <v>0</v>
      </c>
      <c r="D92" s="51">
        <f t="shared" si="21"/>
        <v>0</v>
      </c>
      <c r="E92" s="51">
        <f t="shared" si="21"/>
        <v>0</v>
      </c>
      <c r="F92" s="51">
        <f t="shared" si="21"/>
        <v>0</v>
      </c>
      <c r="G92" s="51">
        <f t="shared" si="21"/>
        <v>0</v>
      </c>
      <c r="H92" s="51">
        <f t="shared" si="21"/>
        <v>0</v>
      </c>
      <c r="I92" s="51">
        <f t="shared" si="21"/>
        <v>0</v>
      </c>
      <c r="J92" s="51">
        <f t="shared" si="21"/>
        <v>0</v>
      </c>
      <c r="K92" s="51">
        <f t="shared" si="21"/>
        <v>0</v>
      </c>
      <c r="L92" s="51">
        <f t="shared" si="21"/>
        <v>0</v>
      </c>
      <c r="M92" s="51">
        <f t="shared" si="21"/>
        <v>0</v>
      </c>
      <c r="N92" s="51">
        <f t="shared" si="21"/>
        <v>0</v>
      </c>
    </row>
    <row r="93" spans="1:23" s="18" customFormat="1" x14ac:dyDescent="0.2">
      <c r="A93" s="18" t="s">
        <v>135</v>
      </c>
      <c r="C93" s="51">
        <f>C90-C91-C92</f>
        <v>-5143647.2782630194</v>
      </c>
      <c r="D93" s="51">
        <f>D90-D91-D92</f>
        <v>690807.61143854354</v>
      </c>
      <c r="E93" s="51">
        <f t="shared" ref="E93:N93" si="22">E90-E91-E92</f>
        <v>2102461.3585750028</v>
      </c>
      <c r="F93" s="51">
        <f t="shared" si="22"/>
        <v>4428206.7254400039</v>
      </c>
      <c r="G93" s="51">
        <f>G90-G91-G92</f>
        <v>6697423.9740200061</v>
      </c>
      <c r="H93" s="51">
        <f t="shared" si="22"/>
        <v>8966641.2226000018</v>
      </c>
      <c r="I93" s="51">
        <f t="shared" si="22"/>
        <v>8977135.6711800024</v>
      </c>
      <c r="J93" s="51">
        <f t="shared" si="22"/>
        <v>8987630.1197600029</v>
      </c>
      <c r="K93" s="51">
        <f t="shared" si="22"/>
        <v>8998124.5683400035</v>
      </c>
      <c r="L93" s="51">
        <f t="shared" si="22"/>
        <v>9008619.016920004</v>
      </c>
      <c r="M93" s="51">
        <f t="shared" si="22"/>
        <v>8720022.9655000027</v>
      </c>
      <c r="N93" s="51">
        <f t="shared" si="22"/>
        <v>8714992.1030800026</v>
      </c>
    </row>
    <row r="94" spans="1:23" s="18" customFormat="1" x14ac:dyDescent="0.2">
      <c r="A94" s="18" t="s">
        <v>136</v>
      </c>
      <c r="C94" s="51">
        <f>C93</f>
        <v>-5143647.2782630194</v>
      </c>
      <c r="D94" s="51">
        <f>C94+D93</f>
        <v>-4452839.6668244759</v>
      </c>
      <c r="E94" s="51">
        <f>D94+E93</f>
        <v>-2350378.3082494731</v>
      </c>
      <c r="F94" s="51">
        <f>E94+F93</f>
        <v>2077828.4171905308</v>
      </c>
      <c r="G94" s="51">
        <f>F94+G93</f>
        <v>8775252.3912105374</v>
      </c>
      <c r="H94" s="51">
        <f t="shared" ref="H94:N94" si="23">G94+H93</f>
        <v>17741893.613810539</v>
      </c>
      <c r="I94" s="51">
        <f t="shared" si="23"/>
        <v>26719029.284990542</v>
      </c>
      <c r="J94" s="51">
        <f t="shared" si="23"/>
        <v>35706659.404750541</v>
      </c>
      <c r="K94" s="51">
        <f t="shared" si="23"/>
        <v>44704783.973090544</v>
      </c>
      <c r="L94" s="51">
        <f t="shared" si="23"/>
        <v>53713402.990010545</v>
      </c>
      <c r="M94" s="51">
        <f t="shared" si="23"/>
        <v>62433425.955510549</v>
      </c>
      <c r="N94" s="51">
        <f t="shared" si="23"/>
        <v>71148418.058590546</v>
      </c>
    </row>
    <row r="95" spans="1:23" s="18" customFormat="1" x14ac:dyDescent="0.2"/>
    <row r="96" spans="1:23" s="18" customFormat="1" ht="15" x14ac:dyDescent="0.25">
      <c r="A96" s="55" t="s">
        <v>522</v>
      </c>
      <c r="B96" s="55"/>
      <c r="C96" s="81">
        <f>MIN(C94:N94)*(-1)</f>
        <v>5143647.2782630194</v>
      </c>
    </row>
    <row r="97" spans="1:3" s="35" customFormat="1" ht="15" thickBot="1" x14ac:dyDescent="0.25"/>
    <row r="98" spans="1:3" ht="15" thickTop="1" x14ac:dyDescent="0.2"/>
    <row r="100" spans="1:3" ht="15" thickBot="1" x14ac:dyDescent="0.25"/>
    <row r="101" spans="1:3" s="36" customFormat="1" ht="27.75" thickTop="1" thickBot="1" x14ac:dyDescent="0.45">
      <c r="A101" s="365" t="s">
        <v>32</v>
      </c>
      <c r="B101" s="365"/>
      <c r="C101" s="366"/>
    </row>
    <row r="102" spans="1:3" s="37" customFormat="1" ht="15" thickTop="1" x14ac:dyDescent="0.2"/>
    <row r="103" spans="1:3" s="37" customFormat="1" x14ac:dyDescent="0.2"/>
    <row r="104" spans="1:3" s="37" customFormat="1" x14ac:dyDescent="0.2"/>
    <row r="105" spans="1:3" s="37" customFormat="1" x14ac:dyDescent="0.2"/>
    <row r="106" spans="1:3" s="37" customFormat="1" x14ac:dyDescent="0.2"/>
    <row r="107" spans="1:3" s="37" customFormat="1" x14ac:dyDescent="0.2"/>
    <row r="108" spans="1:3" s="37" customFormat="1" x14ac:dyDescent="0.2"/>
    <row r="109" spans="1:3" s="37" customFormat="1" x14ac:dyDescent="0.2"/>
    <row r="110" spans="1:3" s="37" customFormat="1" x14ac:dyDescent="0.2"/>
    <row r="111" spans="1:3" s="37" customFormat="1" x14ac:dyDescent="0.2"/>
    <row r="112" spans="1:3" s="37" customFormat="1" x14ac:dyDescent="0.2"/>
    <row r="113" s="37" customFormat="1" x14ac:dyDescent="0.2"/>
    <row r="114" s="37" customFormat="1" x14ac:dyDescent="0.2"/>
    <row r="115" s="37" customFormat="1" x14ac:dyDescent="0.2"/>
    <row r="116" s="37" customFormat="1" x14ac:dyDescent="0.2"/>
    <row r="117" s="37" customFormat="1" x14ac:dyDescent="0.2"/>
    <row r="118" s="37" customFormat="1" x14ac:dyDescent="0.2"/>
    <row r="119" s="37" customFormat="1" x14ac:dyDescent="0.2"/>
    <row r="120" s="37" customFormat="1" x14ac:dyDescent="0.2"/>
    <row r="121" s="37" customFormat="1" x14ac:dyDescent="0.2"/>
    <row r="122" s="37" customFormat="1" x14ac:dyDescent="0.2"/>
    <row r="123" s="37" customFormat="1" x14ac:dyDescent="0.2"/>
    <row r="124" s="37" customFormat="1" x14ac:dyDescent="0.2"/>
    <row r="125" s="37" customFormat="1" x14ac:dyDescent="0.2"/>
    <row r="126" s="37" customFormat="1" x14ac:dyDescent="0.2"/>
    <row r="127" s="37" customFormat="1" x14ac:dyDescent="0.2"/>
    <row r="128" s="37" customFormat="1" x14ac:dyDescent="0.2"/>
    <row r="129" spans="1:2" s="37" customFormat="1" x14ac:dyDescent="0.2"/>
    <row r="130" spans="1:2" s="37" customFormat="1" x14ac:dyDescent="0.2"/>
    <row r="131" spans="1:2" s="37" customFormat="1" x14ac:dyDescent="0.2"/>
    <row r="132" spans="1:2" s="37" customFormat="1" x14ac:dyDescent="0.2"/>
    <row r="133" spans="1:2" s="37" customFormat="1" x14ac:dyDescent="0.2"/>
    <row r="134" spans="1:2" s="37" customFormat="1" x14ac:dyDescent="0.2"/>
    <row r="135" spans="1:2" s="38" customFormat="1" ht="15" thickBot="1" x14ac:dyDescent="0.25"/>
    <row r="136" spans="1:2" ht="15" thickTop="1" x14ac:dyDescent="0.2"/>
    <row r="137" spans="1:2" ht="18.75" x14ac:dyDescent="0.3">
      <c r="A137" s="310" t="s">
        <v>420</v>
      </c>
      <c r="B137" s="309"/>
    </row>
    <row r="138" spans="1:2" ht="28.5" x14ac:dyDescent="0.2">
      <c r="A138" s="308" t="s">
        <v>523</v>
      </c>
    </row>
    <row r="139" spans="1:2" ht="15" x14ac:dyDescent="0.2">
      <c r="A139" s="331" t="s">
        <v>524</v>
      </c>
      <c r="B139" s="311">
        <v>0.1434</v>
      </c>
    </row>
    <row r="140" spans="1:2" ht="15" x14ac:dyDescent="0.2">
      <c r="A140" s="330" t="s">
        <v>525</v>
      </c>
      <c r="B140" s="311">
        <v>0.1489</v>
      </c>
    </row>
    <row r="141" spans="1:2" ht="15" x14ac:dyDescent="0.2">
      <c r="A141" s="330" t="s">
        <v>526</v>
      </c>
      <c r="B141" s="311">
        <v>0.15</v>
      </c>
    </row>
    <row r="142" spans="1:2" ht="15" x14ac:dyDescent="0.25">
      <c r="A142" s="312" t="s">
        <v>527</v>
      </c>
      <c r="B142" s="313">
        <f>B141*B139/B140</f>
        <v>0.14445936870382806</v>
      </c>
    </row>
    <row r="143" spans="1:2" ht="15" x14ac:dyDescent="0.25">
      <c r="A143" s="332" t="s">
        <v>528</v>
      </c>
      <c r="B143" s="333">
        <v>0.16</v>
      </c>
    </row>
  </sheetData>
  <mergeCells count="23">
    <mergeCell ref="A101:C101"/>
    <mergeCell ref="R30:U30"/>
    <mergeCell ref="V30:Y30"/>
    <mergeCell ref="J19:M19"/>
    <mergeCell ref="N19:Q19"/>
    <mergeCell ref="R19:U19"/>
    <mergeCell ref="V19:Y19"/>
    <mergeCell ref="O74:R74"/>
    <mergeCell ref="S74:V74"/>
    <mergeCell ref="C83:F83"/>
    <mergeCell ref="G83:J83"/>
    <mergeCell ref="K83:N83"/>
    <mergeCell ref="O83:R83"/>
    <mergeCell ref="S83:V83"/>
    <mergeCell ref="A2:C2"/>
    <mergeCell ref="A34:C34"/>
    <mergeCell ref="C74:F74"/>
    <mergeCell ref="G74:J74"/>
    <mergeCell ref="K74:N74"/>
    <mergeCell ref="F19:I19"/>
    <mergeCell ref="F30:I30"/>
    <mergeCell ref="J30:M30"/>
    <mergeCell ref="N30:Q30"/>
  </mergeCells>
  <hyperlinks>
    <hyperlink ref="A137" r:id="rId1" xr:uid="{0551E563-814B-4230-876D-BC33EA36648B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CC"/>
  </sheetPr>
  <dimension ref="A1:AC81"/>
  <sheetViews>
    <sheetView topLeftCell="A19" workbookViewId="0">
      <selection activeCell="F7" sqref="F7"/>
    </sheetView>
  </sheetViews>
  <sheetFormatPr defaultRowHeight="14.25" x14ac:dyDescent="0.2"/>
  <cols>
    <col min="1" max="1" width="27.5703125" style="1" bestFit="1" customWidth="1"/>
    <col min="2" max="2" width="8" style="1" bestFit="1" customWidth="1"/>
    <col min="3" max="3" width="27.140625" style="1" bestFit="1" customWidth="1"/>
    <col min="4" max="4" width="15.28515625" style="1" bestFit="1" customWidth="1"/>
    <col min="5" max="5" width="19" style="1" bestFit="1" customWidth="1"/>
    <col min="6" max="6" width="12.7109375" style="1" customWidth="1"/>
    <col min="7" max="7" width="11.5703125" style="1" customWidth="1"/>
    <col min="8" max="25" width="11.28515625" style="1" bestFit="1" customWidth="1"/>
    <col min="26" max="26" width="12.42578125" style="1" bestFit="1" customWidth="1"/>
    <col min="27" max="27" width="9.140625" style="1"/>
    <col min="28" max="28" width="17.7109375" style="1" bestFit="1" customWidth="1"/>
    <col min="29" max="29" width="11.28515625" style="1" bestFit="1" customWidth="1"/>
    <col min="30" max="16384" width="9.140625" style="1"/>
  </cols>
  <sheetData>
    <row r="1" spans="1:29" ht="15" thickBot="1" x14ac:dyDescent="0.25"/>
    <row r="2" spans="1:29" s="2" customFormat="1" ht="27.75" thickTop="1" thickBot="1" x14ac:dyDescent="0.45">
      <c r="A2" s="362" t="s">
        <v>137</v>
      </c>
      <c r="B2" s="362"/>
      <c r="C2" s="363"/>
    </row>
    <row r="3" spans="1:29" s="3" customFormat="1" ht="15" thickTop="1" x14ac:dyDescent="0.2">
      <c r="F3" s="355" t="s">
        <v>34</v>
      </c>
      <c r="G3" s="356"/>
      <c r="H3" s="356"/>
      <c r="I3" s="357"/>
      <c r="J3" s="355" t="s">
        <v>35</v>
      </c>
      <c r="K3" s="356"/>
      <c r="L3" s="356"/>
      <c r="M3" s="357"/>
      <c r="N3" s="355" t="s">
        <v>36</v>
      </c>
      <c r="O3" s="356"/>
      <c r="P3" s="356"/>
      <c r="Q3" s="357"/>
      <c r="R3" s="355" t="s">
        <v>37</v>
      </c>
      <c r="S3" s="356"/>
      <c r="T3" s="356"/>
      <c r="U3" s="357"/>
      <c r="V3" s="355" t="s">
        <v>38</v>
      </c>
      <c r="W3" s="356"/>
      <c r="X3" s="356"/>
      <c r="Y3" s="357"/>
    </row>
    <row r="4" spans="1:29" s="3" customFormat="1" ht="15" x14ac:dyDescent="0.25">
      <c r="A4" s="9" t="s">
        <v>179</v>
      </c>
      <c r="F4" s="7" t="str">
        <f>F24</f>
        <v>1 кв.</v>
      </c>
      <c r="G4" s="3" t="str">
        <f t="shared" ref="G4:Q4" si="0">G24</f>
        <v>2 кв.</v>
      </c>
      <c r="H4" s="3" t="str">
        <f t="shared" si="0"/>
        <v>3 кв.</v>
      </c>
      <c r="I4" s="8" t="str">
        <f t="shared" si="0"/>
        <v>4 кв.</v>
      </c>
      <c r="J4" s="7" t="str">
        <f t="shared" si="0"/>
        <v>5 кв.</v>
      </c>
      <c r="K4" s="3" t="str">
        <f t="shared" si="0"/>
        <v>6 кв.</v>
      </c>
      <c r="L4" s="3" t="str">
        <f t="shared" si="0"/>
        <v>7 кв.</v>
      </c>
      <c r="M4" s="8" t="str">
        <f t="shared" si="0"/>
        <v>8 кв.</v>
      </c>
      <c r="N4" s="7" t="str">
        <f t="shared" si="0"/>
        <v>9 кв.</v>
      </c>
      <c r="O4" s="3" t="str">
        <f t="shared" si="0"/>
        <v>10 кв.</v>
      </c>
      <c r="P4" s="3" t="str">
        <f t="shared" si="0"/>
        <v>11 кв.</v>
      </c>
      <c r="Q4" s="8" t="str">
        <f t="shared" si="0"/>
        <v>12 кв.</v>
      </c>
      <c r="R4" s="7" t="str">
        <f>R24</f>
        <v>13 кв.</v>
      </c>
      <c r="S4" s="3" t="str">
        <f t="shared" ref="S4:W4" si="1">S24</f>
        <v>14 кв.</v>
      </c>
      <c r="T4" s="3" t="str">
        <f t="shared" si="1"/>
        <v>15 кв.</v>
      </c>
      <c r="U4" s="8" t="str">
        <f t="shared" si="1"/>
        <v>16 кв.</v>
      </c>
      <c r="V4" s="7" t="str">
        <f t="shared" si="1"/>
        <v>17 кв.</v>
      </c>
      <c r="W4" s="3" t="str">
        <f t="shared" si="1"/>
        <v>18 кв.</v>
      </c>
      <c r="X4" s="3" t="str">
        <f>X24</f>
        <v>19 кв.</v>
      </c>
      <c r="Y4" s="8" t="str">
        <f t="shared" ref="Y4:Z4" si="2">Y24</f>
        <v>20 кв.</v>
      </c>
      <c r="Z4" s="9" t="str">
        <f t="shared" si="2"/>
        <v>Итого</v>
      </c>
    </row>
    <row r="5" spans="1:29" s="3" customFormat="1" ht="15" x14ac:dyDescent="0.25">
      <c r="A5" s="3" t="str">
        <f>A18</f>
        <v>Налог на прибыль</v>
      </c>
      <c r="F5" s="11">
        <f>F41</f>
        <v>0</v>
      </c>
      <c r="G5" s="10">
        <f t="shared" ref="G5:Q5" si="3">G41</f>
        <v>0</v>
      </c>
      <c r="H5" s="10">
        <f t="shared" si="3"/>
        <v>0</v>
      </c>
      <c r="I5" s="12">
        <f t="shared" si="3"/>
        <v>510776.19386000093</v>
      </c>
      <c r="J5" s="11">
        <f t="shared" si="3"/>
        <v>1078080.5060050008</v>
      </c>
      <c r="K5" s="10">
        <f t="shared" si="3"/>
        <v>1645384.8181500009</v>
      </c>
      <c r="L5" s="10">
        <f t="shared" si="3"/>
        <v>1648008.4302950008</v>
      </c>
      <c r="M5" s="12">
        <f t="shared" si="3"/>
        <v>1650632.0424400009</v>
      </c>
      <c r="N5" s="11">
        <f t="shared" si="3"/>
        <v>1653255.6545850008</v>
      </c>
      <c r="O5" s="10">
        <f t="shared" si="3"/>
        <v>1655879.2667300007</v>
      </c>
      <c r="P5" s="10">
        <f t="shared" si="3"/>
        <v>1957593.3788750009</v>
      </c>
      <c r="Q5" s="12">
        <f t="shared" si="3"/>
        <v>1967517.3132700007</v>
      </c>
      <c r="R5" s="11">
        <f>R41</f>
        <v>1968446.7284050006</v>
      </c>
      <c r="S5" s="10">
        <f t="shared" ref="S5:W5" si="4">S41</f>
        <v>1969376.143540001</v>
      </c>
      <c r="T5" s="10">
        <f t="shared" si="4"/>
        <v>1970305.5586750009</v>
      </c>
      <c r="U5" s="12">
        <f t="shared" si="4"/>
        <v>1971234.9738100008</v>
      </c>
      <c r="V5" s="11">
        <f t="shared" si="4"/>
        <v>1972164.3889450012</v>
      </c>
      <c r="W5" s="10">
        <f t="shared" si="4"/>
        <v>1973093.8040800011</v>
      </c>
      <c r="X5" s="10">
        <f>X41</f>
        <v>1974023.219215001</v>
      </c>
      <c r="Y5" s="12">
        <f t="shared" ref="Y5:Z5" si="5">Y41</f>
        <v>1974952.6343500009</v>
      </c>
      <c r="Z5" s="13">
        <f t="shared" si="5"/>
        <v>29540725.055230021</v>
      </c>
      <c r="AB5" s="3" t="str">
        <f>A5</f>
        <v>Налог на прибыль</v>
      </c>
      <c r="AC5" s="10">
        <f>SUM(V5:Y5)</f>
        <v>7894234.0465900041</v>
      </c>
    </row>
    <row r="6" spans="1:29" s="3" customFormat="1" ht="15" x14ac:dyDescent="0.25">
      <c r="A6" s="3" t="str">
        <f t="shared" ref="A6:A8" si="6">A19</f>
        <v>Налог на имущество</v>
      </c>
      <c r="F6" s="11">
        <f>F33</f>
        <v>160290.06399999998</v>
      </c>
      <c r="G6" s="10">
        <f t="shared" ref="G6:Q6" si="7">G33</f>
        <v>77502.568274999998</v>
      </c>
      <c r="H6" s="10">
        <f t="shared" si="7"/>
        <v>158840.24255</v>
      </c>
      <c r="I6" s="12">
        <f t="shared" si="7"/>
        <v>145722.18182499998</v>
      </c>
      <c r="J6" s="11">
        <f t="shared" si="7"/>
        <v>132604.12110000002</v>
      </c>
      <c r="K6" s="10">
        <f t="shared" si="7"/>
        <v>119486.06037499999</v>
      </c>
      <c r="L6" s="10">
        <f t="shared" si="7"/>
        <v>106367.99964999998</v>
      </c>
      <c r="M6" s="12">
        <f t="shared" si="7"/>
        <v>93249.938925000009</v>
      </c>
      <c r="N6" s="11">
        <f t="shared" si="7"/>
        <v>80131.878199999992</v>
      </c>
      <c r="O6" s="10">
        <f t="shared" si="7"/>
        <v>67013.817474999989</v>
      </c>
      <c r="P6" s="10">
        <f t="shared" si="7"/>
        <v>53895.75675</v>
      </c>
      <c r="Q6" s="12">
        <f t="shared" si="7"/>
        <v>49002.684775000002</v>
      </c>
      <c r="R6" s="11">
        <f>R33</f>
        <v>44355.609100000001</v>
      </c>
      <c r="S6" s="10">
        <f t="shared" ref="S6:W6" si="8">S33</f>
        <v>39708.533425000001</v>
      </c>
      <c r="T6" s="10">
        <f t="shared" si="8"/>
        <v>35061.457750000001</v>
      </c>
      <c r="U6" s="12">
        <f t="shared" si="8"/>
        <v>30414.382075000001</v>
      </c>
      <c r="V6" s="11">
        <f t="shared" si="8"/>
        <v>25767.306400000001</v>
      </c>
      <c r="W6" s="10">
        <f t="shared" si="8"/>
        <v>21120.230724999998</v>
      </c>
      <c r="X6" s="10">
        <f>X33</f>
        <v>16473.155050000001</v>
      </c>
      <c r="Y6" s="12">
        <f t="shared" ref="Y6:Z6" si="9">Y33</f>
        <v>11826.079374999999</v>
      </c>
      <c r="Z6" s="13">
        <f t="shared" si="9"/>
        <v>1468834.0677999996</v>
      </c>
      <c r="AB6" s="3" t="str">
        <f t="shared" ref="AB6:AB8" si="10">A6</f>
        <v>Налог на имущество</v>
      </c>
      <c r="AC6" s="10">
        <f t="shared" ref="AC6:AC7" si="11">SUM(V6:Y6)</f>
        <v>75186.771550000005</v>
      </c>
    </row>
    <row r="7" spans="1:29" s="3" customFormat="1" ht="15" x14ac:dyDescent="0.25">
      <c r="A7" s="3" t="str">
        <f t="shared" si="6"/>
        <v>НДС</v>
      </c>
      <c r="F7" s="11">
        <f>F29</f>
        <v>-996671.44285260397</v>
      </c>
      <c r="G7" s="10">
        <f t="shared" ref="G7:Q7" si="12">G29</f>
        <v>153662.03594270721</v>
      </c>
      <c r="H7" s="10">
        <f t="shared" si="12"/>
        <v>452260.32022499945</v>
      </c>
      <c r="I7" s="12">
        <f t="shared" si="12"/>
        <v>1016941.0202250006</v>
      </c>
      <c r="J7" s="11">
        <f t="shared" si="12"/>
        <v>1581621.7202250008</v>
      </c>
      <c r="K7" s="10">
        <f t="shared" si="12"/>
        <v>2146302.420225</v>
      </c>
      <c r="L7" s="10">
        <f t="shared" si="12"/>
        <v>2146302.420225</v>
      </c>
      <c r="M7" s="12">
        <f t="shared" si="12"/>
        <v>2146302.420225</v>
      </c>
      <c r="N7" s="11">
        <f t="shared" si="12"/>
        <v>2146302.420225</v>
      </c>
      <c r="O7" s="10">
        <f t="shared" si="12"/>
        <v>2146302.420225</v>
      </c>
      <c r="P7" s="10">
        <f t="shared" si="12"/>
        <v>2146302.420225</v>
      </c>
      <c r="Q7" s="12">
        <f t="shared" si="12"/>
        <v>2146302.420225</v>
      </c>
      <c r="R7" s="11">
        <f>R29</f>
        <v>2146302.420225</v>
      </c>
      <c r="S7" s="10">
        <f t="shared" ref="S7:W7" si="13">S29</f>
        <v>2146302.420225</v>
      </c>
      <c r="T7" s="10">
        <f t="shared" si="13"/>
        <v>2146302.420225</v>
      </c>
      <c r="U7" s="12">
        <f t="shared" si="13"/>
        <v>2146302.420225</v>
      </c>
      <c r="V7" s="11">
        <f t="shared" si="13"/>
        <v>2146302.420225</v>
      </c>
      <c r="W7" s="10">
        <f t="shared" si="13"/>
        <v>2146302.420225</v>
      </c>
      <c r="X7" s="10">
        <f>X29</f>
        <v>2146302.420225</v>
      </c>
      <c r="Y7" s="12">
        <f t="shared" ref="Y7:Z7" si="14">Y29</f>
        <v>2146302.420225</v>
      </c>
      <c r="Z7" s="13">
        <f t="shared" si="14"/>
        <v>34402349.957140118</v>
      </c>
      <c r="AB7" s="3" t="str">
        <f t="shared" si="10"/>
        <v>НДС</v>
      </c>
      <c r="AC7" s="10">
        <f t="shared" si="11"/>
        <v>8585209.6809</v>
      </c>
    </row>
    <row r="8" spans="1:29" s="3" customFormat="1" ht="15" x14ac:dyDescent="0.25">
      <c r="A8" s="3" t="str">
        <f t="shared" si="6"/>
        <v>Налог на землю</v>
      </c>
      <c r="F8" s="11">
        <f>F37</f>
        <v>0</v>
      </c>
      <c r="G8" s="10">
        <f t="shared" ref="G8:Q8" si="15">G37</f>
        <v>0</v>
      </c>
      <c r="H8" s="10">
        <f t="shared" si="15"/>
        <v>0</v>
      </c>
      <c r="I8" s="12">
        <f t="shared" si="15"/>
        <v>0</v>
      </c>
      <c r="J8" s="11">
        <f t="shared" si="15"/>
        <v>0</v>
      </c>
      <c r="K8" s="10">
        <f t="shared" si="15"/>
        <v>0</v>
      </c>
      <c r="L8" s="10">
        <f t="shared" si="15"/>
        <v>0</v>
      </c>
      <c r="M8" s="12">
        <f t="shared" si="15"/>
        <v>0</v>
      </c>
      <c r="N8" s="11">
        <f t="shared" si="15"/>
        <v>0</v>
      </c>
      <c r="O8" s="10">
        <f t="shared" si="15"/>
        <v>0</v>
      </c>
      <c r="P8" s="10">
        <f t="shared" si="15"/>
        <v>0</v>
      </c>
      <c r="Q8" s="12">
        <f t="shared" si="15"/>
        <v>0</v>
      </c>
      <c r="R8" s="11">
        <f>R37</f>
        <v>0</v>
      </c>
      <c r="S8" s="10">
        <f t="shared" ref="S8:W8" si="16">S37</f>
        <v>0</v>
      </c>
      <c r="T8" s="10">
        <f t="shared" si="16"/>
        <v>0</v>
      </c>
      <c r="U8" s="12">
        <f t="shared" si="16"/>
        <v>0</v>
      </c>
      <c r="V8" s="11">
        <f t="shared" si="16"/>
        <v>0</v>
      </c>
      <c r="W8" s="10">
        <f t="shared" si="16"/>
        <v>0</v>
      </c>
      <c r="X8" s="10">
        <f>X37</f>
        <v>0</v>
      </c>
      <c r="Y8" s="12">
        <f t="shared" ref="Y8:Z8" si="17">Y37</f>
        <v>0</v>
      </c>
      <c r="Z8" s="13">
        <f t="shared" si="17"/>
        <v>0</v>
      </c>
      <c r="AB8" s="3" t="str">
        <f t="shared" si="10"/>
        <v>Налог на землю</v>
      </c>
      <c r="AC8" s="10">
        <f>SUM(V8:Y8)</f>
        <v>0</v>
      </c>
    </row>
    <row r="9" spans="1:29" s="3" customFormat="1" ht="15" x14ac:dyDescent="0.25">
      <c r="A9" s="9" t="s">
        <v>7</v>
      </c>
      <c r="B9" s="9"/>
      <c r="C9" s="9"/>
      <c r="D9" s="9"/>
      <c r="E9" s="9"/>
      <c r="F9" s="14">
        <f>SUM(F5:F8)</f>
        <v>-836381.37885260396</v>
      </c>
      <c r="G9" s="13">
        <f t="shared" ref="G9:Y9" si="18">SUM(G5:G8)</f>
        <v>231164.60421770721</v>
      </c>
      <c r="H9" s="13">
        <f t="shared" si="18"/>
        <v>611100.56277499942</v>
      </c>
      <c r="I9" s="15">
        <f t="shared" si="18"/>
        <v>1673439.3959100014</v>
      </c>
      <c r="J9" s="14">
        <f t="shared" si="18"/>
        <v>2792306.3473300016</v>
      </c>
      <c r="K9" s="13">
        <f t="shared" si="18"/>
        <v>3911173.298750001</v>
      </c>
      <c r="L9" s="13">
        <f t="shared" si="18"/>
        <v>3900678.8501700005</v>
      </c>
      <c r="M9" s="15">
        <f t="shared" si="18"/>
        <v>3890184.4015900008</v>
      </c>
      <c r="N9" s="14">
        <f t="shared" si="18"/>
        <v>3879689.9530100008</v>
      </c>
      <c r="O9" s="13">
        <f t="shared" si="18"/>
        <v>3869195.5044300007</v>
      </c>
      <c r="P9" s="13">
        <f t="shared" si="18"/>
        <v>4157791.5558500011</v>
      </c>
      <c r="Q9" s="15">
        <f t="shared" si="18"/>
        <v>4162822.4182700007</v>
      </c>
      <c r="R9" s="14">
        <f t="shared" si="18"/>
        <v>4159104.7577300007</v>
      </c>
      <c r="S9" s="13">
        <f t="shared" si="18"/>
        <v>4155387.097190001</v>
      </c>
      <c r="T9" s="13">
        <f t="shared" si="18"/>
        <v>4151669.436650001</v>
      </c>
      <c r="U9" s="15">
        <f t="shared" si="18"/>
        <v>4147951.7761100009</v>
      </c>
      <c r="V9" s="14">
        <f t="shared" si="18"/>
        <v>4144234.1155700013</v>
      </c>
      <c r="W9" s="13">
        <f t="shared" si="18"/>
        <v>4140516.4550300008</v>
      </c>
      <c r="X9" s="13">
        <f t="shared" si="18"/>
        <v>4136798.7944900012</v>
      </c>
      <c r="Y9" s="15">
        <f t="shared" si="18"/>
        <v>4133081.1339500006</v>
      </c>
      <c r="Z9" s="13">
        <f>SUM(Z5:Z8)</f>
        <v>65411909.08017014</v>
      </c>
      <c r="AB9" s="3" t="s">
        <v>7</v>
      </c>
      <c r="AC9" s="10">
        <f>SUM(AC5:AC8)</f>
        <v>16554630.499040004</v>
      </c>
    </row>
    <row r="10" spans="1:29" s="3" customFormat="1" x14ac:dyDescent="0.2">
      <c r="F10" s="377">
        <f>SUM(F9:I9)</f>
        <v>1679323.1840501041</v>
      </c>
      <c r="G10" s="356"/>
      <c r="H10" s="356"/>
      <c r="I10" s="357"/>
      <c r="J10" s="377">
        <f t="shared" ref="J10" si="19">SUM(J9:M9)</f>
        <v>14494342.897840004</v>
      </c>
      <c r="K10" s="356"/>
      <c r="L10" s="356"/>
      <c r="M10" s="357"/>
      <c r="N10" s="377">
        <f t="shared" ref="N10" si="20">SUM(N9:Q9)</f>
        <v>16069499.431560004</v>
      </c>
      <c r="O10" s="356"/>
      <c r="P10" s="356"/>
      <c r="Q10" s="357"/>
      <c r="R10" s="377">
        <f t="shared" ref="R10" si="21">SUM(R9:U9)</f>
        <v>16614113.067680003</v>
      </c>
      <c r="S10" s="356"/>
      <c r="T10" s="356"/>
      <c r="U10" s="357"/>
      <c r="V10" s="377">
        <f t="shared" ref="V10" si="22">SUM(V9:Y9)</f>
        <v>16554630.499040004</v>
      </c>
      <c r="W10" s="356"/>
      <c r="X10" s="356"/>
      <c r="Y10" s="357"/>
    </row>
    <row r="11" spans="1:29" s="41" customFormat="1" ht="15" thickBot="1" x14ac:dyDescent="0.25"/>
    <row r="12" spans="1:29" ht="15.75" thickTop="1" thickBot="1" x14ac:dyDescent="0.25"/>
    <row r="13" spans="1:29" s="17" customFormat="1" ht="27.75" thickTop="1" thickBot="1" x14ac:dyDescent="0.45">
      <c r="A13" s="373" t="s">
        <v>149</v>
      </c>
      <c r="B13" s="373"/>
      <c r="C13" s="374"/>
    </row>
    <row r="14" spans="1:29" s="18" customFormat="1" ht="15" thickTop="1" x14ac:dyDescent="0.2"/>
    <row r="15" spans="1:29" s="18" customFormat="1" x14ac:dyDescent="0.2"/>
    <row r="16" spans="1:29" s="18" customFormat="1" x14ac:dyDescent="0.2"/>
    <row r="17" spans="1:29" s="18" customFormat="1" x14ac:dyDescent="0.2">
      <c r="A17" s="18" t="s">
        <v>133</v>
      </c>
      <c r="B17" s="18" t="s">
        <v>154</v>
      </c>
      <c r="C17" s="18" t="s">
        <v>155</v>
      </c>
      <c r="D17" s="18" t="s">
        <v>158</v>
      </c>
      <c r="E17" s="18" t="s">
        <v>161</v>
      </c>
    </row>
    <row r="18" spans="1:29" s="18" customFormat="1" x14ac:dyDescent="0.2">
      <c r="A18" s="18" t="s">
        <v>150</v>
      </c>
      <c r="B18" s="79">
        <v>0.2</v>
      </c>
      <c r="C18" s="78" t="s">
        <v>156</v>
      </c>
      <c r="D18" s="78" t="s">
        <v>159</v>
      </c>
      <c r="E18" s="80">
        <f>B18</f>
        <v>0.2</v>
      </c>
    </row>
    <row r="19" spans="1:29" s="18" customFormat="1" x14ac:dyDescent="0.2">
      <c r="A19" s="18" t="s">
        <v>151</v>
      </c>
      <c r="B19" s="79">
        <v>2.1999999999999999E-2</v>
      </c>
      <c r="C19" s="78" t="s">
        <v>157</v>
      </c>
      <c r="D19" s="78" t="s">
        <v>160</v>
      </c>
      <c r="E19" s="80">
        <f>B19/4</f>
        <v>5.4999999999999997E-3</v>
      </c>
    </row>
    <row r="20" spans="1:29" s="18" customFormat="1" x14ac:dyDescent="0.2">
      <c r="A20" s="18" t="s">
        <v>152</v>
      </c>
      <c r="B20" s="79">
        <v>0.2</v>
      </c>
      <c r="C20" s="78"/>
      <c r="D20" s="78" t="s">
        <v>159</v>
      </c>
      <c r="E20" s="80">
        <f>B20</f>
        <v>0.2</v>
      </c>
    </row>
    <row r="21" spans="1:29" s="18" customFormat="1" x14ac:dyDescent="0.2">
      <c r="A21" s="18" t="s">
        <v>153</v>
      </c>
      <c r="B21" s="79">
        <v>1.4999999999999999E-2</v>
      </c>
      <c r="C21" s="78"/>
      <c r="D21" s="78" t="s">
        <v>160</v>
      </c>
      <c r="E21" s="80">
        <f>B21/4</f>
        <v>3.7499999999999999E-3</v>
      </c>
    </row>
    <row r="22" spans="1:29" s="18" customFormat="1" x14ac:dyDescent="0.2"/>
    <row r="23" spans="1:29" s="18" customFormat="1" x14ac:dyDescent="0.2"/>
    <row r="24" spans="1:29" s="18" customFormat="1" ht="15" x14ac:dyDescent="0.25">
      <c r="A24" s="18" t="s">
        <v>162</v>
      </c>
      <c r="F24" s="18" t="str">
        <f>'Параметры Доходы'!F4</f>
        <v>1 кв.</v>
      </c>
      <c r="G24" s="18" t="str">
        <f>'Параметры Доходы'!G4</f>
        <v>2 кв.</v>
      </c>
      <c r="H24" s="18" t="str">
        <f>'Параметры Доходы'!H4</f>
        <v>3 кв.</v>
      </c>
      <c r="I24" s="18" t="str">
        <f>'Параметры Доходы'!I4</f>
        <v>4 кв.</v>
      </c>
      <c r="J24" s="18" t="str">
        <f>'Параметры Доходы'!J4</f>
        <v>5 кв.</v>
      </c>
      <c r="K24" s="18" t="str">
        <f>'Параметры Доходы'!K4</f>
        <v>6 кв.</v>
      </c>
      <c r="L24" s="18" t="str">
        <f>'Параметры Доходы'!L4</f>
        <v>7 кв.</v>
      </c>
      <c r="M24" s="18" t="str">
        <f>'Параметры Доходы'!M4</f>
        <v>8 кв.</v>
      </c>
      <c r="N24" s="18" t="str">
        <f>'Параметры Доходы'!N4</f>
        <v>9 кв.</v>
      </c>
      <c r="O24" s="18" t="str">
        <f>'Параметры Доходы'!O4</f>
        <v>10 кв.</v>
      </c>
      <c r="P24" s="18" t="str">
        <f>'Параметры Доходы'!P4</f>
        <v>11 кв.</v>
      </c>
      <c r="Q24" s="18" t="str">
        <f>'Параметры Доходы'!Q4</f>
        <v>12 кв.</v>
      </c>
      <c r="R24" s="18" t="str">
        <f>'Параметры Доходы'!R4</f>
        <v>13 кв.</v>
      </c>
      <c r="S24" s="18" t="str">
        <f>'Параметры Доходы'!S4</f>
        <v>14 кв.</v>
      </c>
      <c r="T24" s="18" t="str">
        <f>'Параметры Доходы'!T4</f>
        <v>15 кв.</v>
      </c>
      <c r="U24" s="18" t="str">
        <f>'Параметры Доходы'!U4</f>
        <v>16 кв.</v>
      </c>
      <c r="V24" s="18" t="str">
        <f>'Параметры Доходы'!V4</f>
        <v>17 кв.</v>
      </c>
      <c r="W24" s="18" t="str">
        <f>'Параметры Доходы'!W4</f>
        <v>18 кв.</v>
      </c>
      <c r="X24" s="18" t="str">
        <f>'Параметры Доходы'!X4</f>
        <v>19 кв.</v>
      </c>
      <c r="Y24" s="18" t="str">
        <f>'Параметры Доходы'!Y4</f>
        <v>20 кв.</v>
      </c>
      <c r="Z24" s="55" t="str">
        <f>'Параметры Доходы'!Z4</f>
        <v>Итого</v>
      </c>
    </row>
    <row r="25" spans="1:29" s="18" customFormat="1" ht="15" x14ac:dyDescent="0.25">
      <c r="A25" s="18" t="s">
        <v>163</v>
      </c>
      <c r="F25" s="51">
        <f>'Параметры Доходы'!F8</f>
        <v>0</v>
      </c>
      <c r="G25" s="51">
        <f>'Параметры Доходы'!G8</f>
        <v>39852000</v>
      </c>
      <c r="H25" s="51">
        <f>'Параметры Доходы'!H8</f>
        <v>46494000</v>
      </c>
      <c r="I25" s="51">
        <f>'Параметры Доходы'!I8</f>
        <v>53136000</v>
      </c>
      <c r="J25" s="51">
        <f>'Параметры Доходы'!J8</f>
        <v>59778000</v>
      </c>
      <c r="K25" s="51">
        <f>'Параметры Доходы'!K8</f>
        <v>66420000</v>
      </c>
      <c r="L25" s="51">
        <f>'Параметры Доходы'!L8</f>
        <v>66420000</v>
      </c>
      <c r="M25" s="51">
        <f>'Параметры Доходы'!M8</f>
        <v>66420000</v>
      </c>
      <c r="N25" s="51">
        <f>'Параметры Доходы'!N8</f>
        <v>66420000</v>
      </c>
      <c r="O25" s="51">
        <f>'Параметры Доходы'!O8</f>
        <v>66420000</v>
      </c>
      <c r="P25" s="51">
        <f>'Параметры Доходы'!P8</f>
        <v>66420000</v>
      </c>
      <c r="Q25" s="51">
        <f>'Параметры Доходы'!Q8</f>
        <v>66420000</v>
      </c>
      <c r="R25" s="51">
        <f>'Параметры Доходы'!R8</f>
        <v>66420000</v>
      </c>
      <c r="S25" s="51">
        <f>'Параметры Доходы'!S8</f>
        <v>66420000</v>
      </c>
      <c r="T25" s="51">
        <f>'Параметры Доходы'!T8</f>
        <v>66420000</v>
      </c>
      <c r="U25" s="51">
        <f>'Параметры Доходы'!U8</f>
        <v>66420000</v>
      </c>
      <c r="V25" s="51">
        <f>'Параметры Доходы'!V8</f>
        <v>66420000</v>
      </c>
      <c r="W25" s="51">
        <f>'Параметры Доходы'!W8</f>
        <v>66420000</v>
      </c>
      <c r="X25" s="51">
        <f>'Параметры Доходы'!X8</f>
        <v>66420000</v>
      </c>
      <c r="Y25" s="51">
        <f>'Параметры Доходы'!Y8</f>
        <v>66420000</v>
      </c>
      <c r="Z25" s="81">
        <f>'Параметры Доходы'!Z8</f>
        <v>1195560000</v>
      </c>
      <c r="AA25" s="51"/>
      <c r="AB25" s="51"/>
      <c r="AC25" s="51"/>
    </row>
    <row r="26" spans="1:29" s="18" customFormat="1" ht="15" x14ac:dyDescent="0.25">
      <c r="A26" s="18" t="s">
        <v>132</v>
      </c>
      <c r="F26" s="51">
        <f>'Параметры Расходы'!F29</f>
        <v>5980028.6571156234</v>
      </c>
      <c r="G26" s="51">
        <f>'Параметры Расходы'!G29</f>
        <v>38930027.784343749</v>
      </c>
      <c r="H26" s="51">
        <f>'Параметры Расходы'!H29</f>
        <v>43780438.078649998</v>
      </c>
      <c r="I26" s="51">
        <f>'Параметры Расходы'!I29</f>
        <v>47034353.878649995</v>
      </c>
      <c r="J26" s="51">
        <f>'Параметры Расходы'!J29</f>
        <v>50288269.678649992</v>
      </c>
      <c r="K26" s="51">
        <f>'Параметры Расходы'!K29</f>
        <v>53542185.478649996</v>
      </c>
      <c r="L26" s="51">
        <f>'Параметры Расходы'!L29</f>
        <v>53542185.478649996</v>
      </c>
      <c r="M26" s="51">
        <f>'Параметры Расходы'!M29</f>
        <v>53542185.478649996</v>
      </c>
      <c r="N26" s="51">
        <f>'Параметры Расходы'!N29</f>
        <v>53542185.478649996</v>
      </c>
      <c r="O26" s="51">
        <f>'Параметры Расходы'!O29</f>
        <v>53542185.478649996</v>
      </c>
      <c r="P26" s="51">
        <f>'Параметры Расходы'!P29</f>
        <v>53542185.478649996</v>
      </c>
      <c r="Q26" s="51">
        <f>'Параметры Расходы'!Q29</f>
        <v>53542185.478649996</v>
      </c>
      <c r="R26" s="51">
        <f>'Параметры Расходы'!R29</f>
        <v>53542185.478649996</v>
      </c>
      <c r="S26" s="51">
        <f>'Параметры Расходы'!S29</f>
        <v>53542185.478649996</v>
      </c>
      <c r="T26" s="51">
        <f>'Параметры Расходы'!T29</f>
        <v>53542185.478649996</v>
      </c>
      <c r="U26" s="51">
        <f>'Параметры Расходы'!U29</f>
        <v>53542185.478649996</v>
      </c>
      <c r="V26" s="51">
        <f>'Параметры Расходы'!V29</f>
        <v>53542185.478649996</v>
      </c>
      <c r="W26" s="51">
        <f>'Параметры Расходы'!W29</f>
        <v>53542185.478649996</v>
      </c>
      <c r="X26" s="51">
        <f>'Параметры Расходы'!X29</f>
        <v>53542185.478649996</v>
      </c>
      <c r="Y26" s="51">
        <f>'Параметры Расходы'!Y29</f>
        <v>53542185.478649996</v>
      </c>
      <c r="Z26" s="81">
        <f>'Параметры Расходы'!Z29</f>
        <v>989145900.25715923</v>
      </c>
    </row>
    <row r="27" spans="1:29" s="18" customFormat="1" ht="15" x14ac:dyDescent="0.25">
      <c r="A27" s="18" t="s">
        <v>164</v>
      </c>
      <c r="F27" s="51">
        <f>F25*$E$20/(1+$E$20)</f>
        <v>0</v>
      </c>
      <c r="G27" s="51">
        <f t="shared" ref="G27:Z27" si="23">G25*$E$20/(1+$E$20)</f>
        <v>6642000</v>
      </c>
      <c r="H27" s="51">
        <f t="shared" si="23"/>
        <v>7749000</v>
      </c>
      <c r="I27" s="51">
        <f t="shared" si="23"/>
        <v>8856000</v>
      </c>
      <c r="J27" s="51">
        <f t="shared" si="23"/>
        <v>9963000</v>
      </c>
      <c r="K27" s="51">
        <f t="shared" si="23"/>
        <v>11070000</v>
      </c>
      <c r="L27" s="51">
        <f t="shared" si="23"/>
        <v>11070000</v>
      </c>
      <c r="M27" s="51">
        <f t="shared" si="23"/>
        <v>11070000</v>
      </c>
      <c r="N27" s="51">
        <f t="shared" si="23"/>
        <v>11070000</v>
      </c>
      <c r="O27" s="51">
        <f t="shared" si="23"/>
        <v>11070000</v>
      </c>
      <c r="P27" s="51">
        <f t="shared" si="23"/>
        <v>11070000</v>
      </c>
      <c r="Q27" s="51">
        <f t="shared" si="23"/>
        <v>11070000</v>
      </c>
      <c r="R27" s="51">
        <f t="shared" si="23"/>
        <v>11070000</v>
      </c>
      <c r="S27" s="51">
        <f t="shared" si="23"/>
        <v>11070000</v>
      </c>
      <c r="T27" s="51">
        <f t="shared" si="23"/>
        <v>11070000</v>
      </c>
      <c r="U27" s="51">
        <f t="shared" si="23"/>
        <v>11070000</v>
      </c>
      <c r="V27" s="51">
        <f t="shared" si="23"/>
        <v>11070000</v>
      </c>
      <c r="W27" s="51">
        <f t="shared" si="23"/>
        <v>11070000</v>
      </c>
      <c r="X27" s="51">
        <f t="shared" si="23"/>
        <v>11070000</v>
      </c>
      <c r="Y27" s="51">
        <f t="shared" si="23"/>
        <v>11070000</v>
      </c>
      <c r="Z27" s="81">
        <f t="shared" si="23"/>
        <v>199260000</v>
      </c>
    </row>
    <row r="28" spans="1:29" s="18" customFormat="1" ht="15" x14ac:dyDescent="0.25">
      <c r="A28" s="18" t="s">
        <v>165</v>
      </c>
      <c r="F28" s="51">
        <f>F26*$E$20/(1+$E$20)</f>
        <v>996671.44285260397</v>
      </c>
      <c r="G28" s="51">
        <f t="shared" ref="G28:Z28" si="24">G26*$E$20/(1+$E$20)</f>
        <v>6488337.9640572928</v>
      </c>
      <c r="H28" s="51">
        <f t="shared" si="24"/>
        <v>7296739.6797750005</v>
      </c>
      <c r="I28" s="51">
        <f t="shared" si="24"/>
        <v>7839058.9797749994</v>
      </c>
      <c r="J28" s="51">
        <f t="shared" si="24"/>
        <v>8381378.2797749992</v>
      </c>
      <c r="K28" s="51">
        <f t="shared" si="24"/>
        <v>8923697.579775</v>
      </c>
      <c r="L28" s="51">
        <f t="shared" si="24"/>
        <v>8923697.579775</v>
      </c>
      <c r="M28" s="51">
        <f t="shared" si="24"/>
        <v>8923697.579775</v>
      </c>
      <c r="N28" s="51">
        <f t="shared" si="24"/>
        <v>8923697.579775</v>
      </c>
      <c r="O28" s="51">
        <f t="shared" si="24"/>
        <v>8923697.579775</v>
      </c>
      <c r="P28" s="51">
        <f t="shared" si="24"/>
        <v>8923697.579775</v>
      </c>
      <c r="Q28" s="51">
        <f t="shared" si="24"/>
        <v>8923697.579775</v>
      </c>
      <c r="R28" s="51">
        <f t="shared" si="24"/>
        <v>8923697.579775</v>
      </c>
      <c r="S28" s="51">
        <f t="shared" si="24"/>
        <v>8923697.579775</v>
      </c>
      <c r="T28" s="51">
        <f t="shared" si="24"/>
        <v>8923697.579775</v>
      </c>
      <c r="U28" s="51">
        <f t="shared" si="24"/>
        <v>8923697.579775</v>
      </c>
      <c r="V28" s="51">
        <f t="shared" si="24"/>
        <v>8923697.579775</v>
      </c>
      <c r="W28" s="51">
        <f t="shared" si="24"/>
        <v>8923697.579775</v>
      </c>
      <c r="X28" s="51">
        <f t="shared" si="24"/>
        <v>8923697.579775</v>
      </c>
      <c r="Y28" s="51">
        <f t="shared" si="24"/>
        <v>8923697.579775</v>
      </c>
      <c r="Z28" s="81">
        <f t="shared" si="24"/>
        <v>164857650.04285988</v>
      </c>
    </row>
    <row r="29" spans="1:29" s="18" customFormat="1" ht="15" x14ac:dyDescent="0.25">
      <c r="A29" s="18" t="s">
        <v>162</v>
      </c>
      <c r="F29" s="51">
        <f>F27-F28</f>
        <v>-996671.44285260397</v>
      </c>
      <c r="G29" s="51">
        <f t="shared" ref="G29:Z29" si="25">G27-G28</f>
        <v>153662.03594270721</v>
      </c>
      <c r="H29" s="51">
        <f t="shared" si="25"/>
        <v>452260.32022499945</v>
      </c>
      <c r="I29" s="51">
        <f t="shared" si="25"/>
        <v>1016941.0202250006</v>
      </c>
      <c r="J29" s="51">
        <f t="shared" si="25"/>
        <v>1581621.7202250008</v>
      </c>
      <c r="K29" s="51">
        <f t="shared" si="25"/>
        <v>2146302.420225</v>
      </c>
      <c r="L29" s="51">
        <f t="shared" si="25"/>
        <v>2146302.420225</v>
      </c>
      <c r="M29" s="51">
        <f t="shared" si="25"/>
        <v>2146302.420225</v>
      </c>
      <c r="N29" s="51">
        <f t="shared" si="25"/>
        <v>2146302.420225</v>
      </c>
      <c r="O29" s="51">
        <f t="shared" si="25"/>
        <v>2146302.420225</v>
      </c>
      <c r="P29" s="51">
        <f t="shared" si="25"/>
        <v>2146302.420225</v>
      </c>
      <c r="Q29" s="51">
        <f t="shared" si="25"/>
        <v>2146302.420225</v>
      </c>
      <c r="R29" s="51">
        <f t="shared" si="25"/>
        <v>2146302.420225</v>
      </c>
      <c r="S29" s="51">
        <f t="shared" si="25"/>
        <v>2146302.420225</v>
      </c>
      <c r="T29" s="51">
        <f t="shared" si="25"/>
        <v>2146302.420225</v>
      </c>
      <c r="U29" s="51">
        <f t="shared" si="25"/>
        <v>2146302.420225</v>
      </c>
      <c r="V29" s="51">
        <f t="shared" si="25"/>
        <v>2146302.420225</v>
      </c>
      <c r="W29" s="51">
        <f t="shared" si="25"/>
        <v>2146302.420225</v>
      </c>
      <c r="X29" s="51">
        <f t="shared" si="25"/>
        <v>2146302.420225</v>
      </c>
      <c r="Y29" s="51">
        <f t="shared" si="25"/>
        <v>2146302.420225</v>
      </c>
      <c r="Z29" s="81">
        <f t="shared" si="25"/>
        <v>34402349.957140118</v>
      </c>
    </row>
    <row r="30" spans="1:29" s="18" customFormat="1" x14ac:dyDescent="0.2"/>
    <row r="31" spans="1:29" s="18" customFormat="1" ht="15" x14ac:dyDescent="0.25">
      <c r="A31" s="18" t="s">
        <v>167</v>
      </c>
      <c r="F31" s="18" t="str">
        <f>F24</f>
        <v>1 кв.</v>
      </c>
      <c r="G31" s="18" t="str">
        <f t="shared" ref="G31:Y31" si="26">G24</f>
        <v>2 кв.</v>
      </c>
      <c r="H31" s="18" t="str">
        <f t="shared" si="26"/>
        <v>3 кв.</v>
      </c>
      <c r="I31" s="18" t="str">
        <f t="shared" si="26"/>
        <v>4 кв.</v>
      </c>
      <c r="J31" s="18" t="str">
        <f t="shared" si="26"/>
        <v>5 кв.</v>
      </c>
      <c r="K31" s="18" t="str">
        <f t="shared" si="26"/>
        <v>6 кв.</v>
      </c>
      <c r="L31" s="18" t="str">
        <f t="shared" si="26"/>
        <v>7 кв.</v>
      </c>
      <c r="M31" s="18" t="str">
        <f t="shared" si="26"/>
        <v>8 кв.</v>
      </c>
      <c r="N31" s="18" t="str">
        <f t="shared" si="26"/>
        <v>9 кв.</v>
      </c>
      <c r="O31" s="18" t="str">
        <f t="shared" si="26"/>
        <v>10 кв.</v>
      </c>
      <c r="P31" s="18" t="str">
        <f t="shared" si="26"/>
        <v>11 кв.</v>
      </c>
      <c r="Q31" s="18" t="str">
        <f t="shared" si="26"/>
        <v>12 кв.</v>
      </c>
      <c r="R31" s="18" t="str">
        <f t="shared" si="26"/>
        <v>13 кв.</v>
      </c>
      <c r="S31" s="18" t="str">
        <f t="shared" si="26"/>
        <v>14 кв.</v>
      </c>
      <c r="T31" s="18" t="str">
        <f t="shared" si="26"/>
        <v>15 кв.</v>
      </c>
      <c r="U31" s="18" t="str">
        <f t="shared" si="26"/>
        <v>16 кв.</v>
      </c>
      <c r="V31" s="18" t="str">
        <f t="shared" si="26"/>
        <v>17 кв.</v>
      </c>
      <c r="W31" s="18" t="str">
        <f t="shared" si="26"/>
        <v>18 кв.</v>
      </c>
      <c r="X31" s="18" t="str">
        <f t="shared" si="26"/>
        <v>19 кв.</v>
      </c>
      <c r="Y31" s="18" t="str">
        <f t="shared" si="26"/>
        <v>20 кв.</v>
      </c>
      <c r="Z31" s="55" t="s">
        <v>7</v>
      </c>
    </row>
    <row r="32" spans="1:29" s="18" customFormat="1" ht="15" x14ac:dyDescent="0.25">
      <c r="A32" s="18" t="s">
        <v>168</v>
      </c>
      <c r="F32" s="51">
        <f>Амортизация!F12</f>
        <v>29143648</v>
      </c>
      <c r="G32" s="51">
        <f>Амортизация!G12</f>
        <v>14091376.050000001</v>
      </c>
      <c r="H32" s="51">
        <f>Амортизация!H12</f>
        <v>28880044.100000001</v>
      </c>
      <c r="I32" s="51">
        <f>Амортизация!I12</f>
        <v>26494942.149999999</v>
      </c>
      <c r="J32" s="51">
        <f>Амортизация!J12</f>
        <v>24109840.200000003</v>
      </c>
      <c r="K32" s="51">
        <f>Амортизация!K12</f>
        <v>21724738.25</v>
      </c>
      <c r="L32" s="51">
        <f>Амортизация!L12</f>
        <v>19339636.299999997</v>
      </c>
      <c r="M32" s="51">
        <f>Амортизация!M12</f>
        <v>16954534.350000001</v>
      </c>
      <c r="N32" s="51">
        <f>Амортизация!N12</f>
        <v>14569432.399999999</v>
      </c>
      <c r="O32" s="51">
        <f>Амортизация!O12</f>
        <v>12184330.449999999</v>
      </c>
      <c r="P32" s="51">
        <f>Амортизация!P12</f>
        <v>9799228.5</v>
      </c>
      <c r="Q32" s="51">
        <f>Амортизация!Q12</f>
        <v>8909579.0500000007</v>
      </c>
      <c r="R32" s="51">
        <f>Амортизация!R12</f>
        <v>8064656.2000000002</v>
      </c>
      <c r="S32" s="51">
        <f>Амортизация!S12</f>
        <v>7219733.3500000006</v>
      </c>
      <c r="T32" s="51">
        <f>Амортизация!T12</f>
        <v>6374810.5</v>
      </c>
      <c r="U32" s="51">
        <f>Амортизация!U12</f>
        <v>5529887.6500000004</v>
      </c>
      <c r="V32" s="51">
        <f>Амортизация!V12</f>
        <v>4684964.8000000007</v>
      </c>
      <c r="W32" s="51">
        <f>Амортизация!W12</f>
        <v>3840041.9499999997</v>
      </c>
      <c r="X32" s="51">
        <f>Амортизация!X12</f>
        <v>2995119.1</v>
      </c>
      <c r="Y32" s="51">
        <f>Амортизация!Y12</f>
        <v>2150196.25</v>
      </c>
      <c r="Z32" s="55"/>
    </row>
    <row r="33" spans="1:26" s="18" customFormat="1" ht="15" x14ac:dyDescent="0.25">
      <c r="A33" s="18" t="s">
        <v>151</v>
      </c>
      <c r="F33" s="51">
        <f>F32*$E$19</f>
        <v>160290.06399999998</v>
      </c>
      <c r="G33" s="51">
        <f t="shared" ref="G33:Y33" si="27">G32*$E$19</f>
        <v>77502.568274999998</v>
      </c>
      <c r="H33" s="51">
        <f t="shared" si="27"/>
        <v>158840.24255</v>
      </c>
      <c r="I33" s="51">
        <f t="shared" si="27"/>
        <v>145722.18182499998</v>
      </c>
      <c r="J33" s="51">
        <f t="shared" si="27"/>
        <v>132604.12110000002</v>
      </c>
      <c r="K33" s="51">
        <f t="shared" si="27"/>
        <v>119486.06037499999</v>
      </c>
      <c r="L33" s="51">
        <f t="shared" si="27"/>
        <v>106367.99964999998</v>
      </c>
      <c r="M33" s="51">
        <f t="shared" si="27"/>
        <v>93249.938925000009</v>
      </c>
      <c r="N33" s="51">
        <f t="shared" si="27"/>
        <v>80131.878199999992</v>
      </c>
      <c r="O33" s="51">
        <f t="shared" si="27"/>
        <v>67013.817474999989</v>
      </c>
      <c r="P33" s="51">
        <f t="shared" si="27"/>
        <v>53895.75675</v>
      </c>
      <c r="Q33" s="51">
        <f t="shared" si="27"/>
        <v>49002.684775000002</v>
      </c>
      <c r="R33" s="51">
        <f t="shared" si="27"/>
        <v>44355.609100000001</v>
      </c>
      <c r="S33" s="51">
        <f t="shared" si="27"/>
        <v>39708.533425000001</v>
      </c>
      <c r="T33" s="51">
        <f t="shared" si="27"/>
        <v>35061.457750000001</v>
      </c>
      <c r="U33" s="51">
        <f t="shared" si="27"/>
        <v>30414.382075000001</v>
      </c>
      <c r="V33" s="51">
        <f t="shared" si="27"/>
        <v>25767.306400000001</v>
      </c>
      <c r="W33" s="51">
        <f t="shared" si="27"/>
        <v>21120.230724999998</v>
      </c>
      <c r="X33" s="51">
        <f t="shared" si="27"/>
        <v>16473.155050000001</v>
      </c>
      <c r="Y33" s="51">
        <f t="shared" si="27"/>
        <v>11826.079374999999</v>
      </c>
      <c r="Z33" s="81">
        <f>SUM(F33:Y33)</f>
        <v>1468834.0677999996</v>
      </c>
    </row>
    <row r="34" spans="1:26" s="18" customFormat="1" x14ac:dyDescent="0.2"/>
    <row r="35" spans="1:26" s="18" customFormat="1" x14ac:dyDescent="0.2">
      <c r="A35" s="18" t="s">
        <v>169</v>
      </c>
      <c r="F35" s="18" t="str">
        <f>F31</f>
        <v>1 кв.</v>
      </c>
      <c r="G35" s="18" t="str">
        <f t="shared" ref="G35:Y35" si="28">G31</f>
        <v>2 кв.</v>
      </c>
      <c r="H35" s="18" t="str">
        <f t="shared" si="28"/>
        <v>3 кв.</v>
      </c>
      <c r="I35" s="18" t="str">
        <f t="shared" si="28"/>
        <v>4 кв.</v>
      </c>
      <c r="J35" s="18" t="str">
        <f t="shared" si="28"/>
        <v>5 кв.</v>
      </c>
      <c r="K35" s="18" t="str">
        <f t="shared" si="28"/>
        <v>6 кв.</v>
      </c>
      <c r="L35" s="18" t="str">
        <f t="shared" si="28"/>
        <v>7 кв.</v>
      </c>
      <c r="M35" s="18" t="str">
        <f t="shared" si="28"/>
        <v>8 кв.</v>
      </c>
      <c r="N35" s="18" t="str">
        <f t="shared" si="28"/>
        <v>9 кв.</v>
      </c>
      <c r="O35" s="18" t="str">
        <f t="shared" si="28"/>
        <v>10 кв.</v>
      </c>
      <c r="P35" s="18" t="str">
        <f t="shared" si="28"/>
        <v>11 кв.</v>
      </c>
      <c r="Q35" s="18" t="str">
        <f t="shared" si="28"/>
        <v>12 кв.</v>
      </c>
      <c r="R35" s="18" t="str">
        <f t="shared" si="28"/>
        <v>13 кв.</v>
      </c>
      <c r="S35" s="18" t="str">
        <f t="shared" si="28"/>
        <v>14 кв.</v>
      </c>
      <c r="T35" s="18" t="str">
        <f t="shared" si="28"/>
        <v>15 кв.</v>
      </c>
      <c r="U35" s="18" t="str">
        <f t="shared" si="28"/>
        <v>16 кв.</v>
      </c>
      <c r="V35" s="18" t="str">
        <f t="shared" si="28"/>
        <v>17 кв.</v>
      </c>
      <c r="W35" s="18" t="str">
        <f t="shared" si="28"/>
        <v>18 кв.</v>
      </c>
      <c r="X35" s="18" t="str">
        <f t="shared" si="28"/>
        <v>19 кв.</v>
      </c>
      <c r="Y35" s="18" t="str">
        <f t="shared" si="28"/>
        <v>20 кв.</v>
      </c>
      <c r="Z35" s="18" t="str">
        <f>Z31</f>
        <v>Итого</v>
      </c>
    </row>
    <row r="36" spans="1:26" s="18" customFormat="1" x14ac:dyDescent="0.2">
      <c r="A36" s="18" t="s">
        <v>170</v>
      </c>
      <c r="F36" s="51"/>
      <c r="G36" s="51"/>
      <c r="H36" s="51">
        <v>0</v>
      </c>
      <c r="I36" s="51">
        <f t="shared" ref="I36:Y36" si="29">H36</f>
        <v>0</v>
      </c>
      <c r="J36" s="51">
        <f t="shared" si="29"/>
        <v>0</v>
      </c>
      <c r="K36" s="51">
        <f t="shared" si="29"/>
        <v>0</v>
      </c>
      <c r="L36" s="51">
        <f t="shared" si="29"/>
        <v>0</v>
      </c>
      <c r="M36" s="51">
        <f t="shared" si="29"/>
        <v>0</v>
      </c>
      <c r="N36" s="51">
        <f t="shared" si="29"/>
        <v>0</v>
      </c>
      <c r="O36" s="51">
        <f t="shared" si="29"/>
        <v>0</v>
      </c>
      <c r="P36" s="51">
        <f t="shared" si="29"/>
        <v>0</v>
      </c>
      <c r="Q36" s="51">
        <f t="shared" si="29"/>
        <v>0</v>
      </c>
      <c r="R36" s="51">
        <f t="shared" si="29"/>
        <v>0</v>
      </c>
      <c r="S36" s="51">
        <f t="shared" si="29"/>
        <v>0</v>
      </c>
      <c r="T36" s="51">
        <f t="shared" si="29"/>
        <v>0</v>
      </c>
      <c r="U36" s="51">
        <f t="shared" si="29"/>
        <v>0</v>
      </c>
      <c r="V36" s="51">
        <f t="shared" si="29"/>
        <v>0</v>
      </c>
      <c r="W36" s="51">
        <f t="shared" si="29"/>
        <v>0</v>
      </c>
      <c r="X36" s="51">
        <f t="shared" si="29"/>
        <v>0</v>
      </c>
      <c r="Y36" s="51">
        <f t="shared" si="29"/>
        <v>0</v>
      </c>
    </row>
    <row r="37" spans="1:26" s="18" customFormat="1" ht="15" x14ac:dyDescent="0.25">
      <c r="A37" s="18" t="s">
        <v>153</v>
      </c>
      <c r="F37" s="51">
        <f>F36*$E$21</f>
        <v>0</v>
      </c>
      <c r="G37" s="51">
        <f>G36*$E$21</f>
        <v>0</v>
      </c>
      <c r="H37" s="51">
        <f t="shared" ref="H37:Y37" si="30">H36*$E$21</f>
        <v>0</v>
      </c>
      <c r="I37" s="51">
        <f t="shared" si="30"/>
        <v>0</v>
      </c>
      <c r="J37" s="51">
        <f t="shared" si="30"/>
        <v>0</v>
      </c>
      <c r="K37" s="51">
        <f t="shared" si="30"/>
        <v>0</v>
      </c>
      <c r="L37" s="51">
        <f t="shared" si="30"/>
        <v>0</v>
      </c>
      <c r="M37" s="51">
        <f t="shared" si="30"/>
        <v>0</v>
      </c>
      <c r="N37" s="51">
        <f t="shared" si="30"/>
        <v>0</v>
      </c>
      <c r="O37" s="51">
        <f t="shared" si="30"/>
        <v>0</v>
      </c>
      <c r="P37" s="51">
        <f t="shared" si="30"/>
        <v>0</v>
      </c>
      <c r="Q37" s="51">
        <f t="shared" si="30"/>
        <v>0</v>
      </c>
      <c r="R37" s="51">
        <f t="shared" si="30"/>
        <v>0</v>
      </c>
      <c r="S37" s="51">
        <f t="shared" si="30"/>
        <v>0</v>
      </c>
      <c r="T37" s="51">
        <f t="shared" si="30"/>
        <v>0</v>
      </c>
      <c r="U37" s="51">
        <f t="shared" si="30"/>
        <v>0</v>
      </c>
      <c r="V37" s="51">
        <f t="shared" si="30"/>
        <v>0</v>
      </c>
      <c r="W37" s="51">
        <f t="shared" si="30"/>
        <v>0</v>
      </c>
      <c r="X37" s="51">
        <f t="shared" si="30"/>
        <v>0</v>
      </c>
      <c r="Y37" s="51">
        <f t="shared" si="30"/>
        <v>0</v>
      </c>
      <c r="Z37" s="81">
        <f>SUM(F37:Y37)</f>
        <v>0</v>
      </c>
    </row>
    <row r="38" spans="1:26" s="18" customFormat="1" x14ac:dyDescent="0.2"/>
    <row r="39" spans="1:26" s="18" customFormat="1" x14ac:dyDescent="0.2">
      <c r="A39" s="18" t="s">
        <v>166</v>
      </c>
    </row>
    <row r="40" spans="1:26" s="18" customFormat="1" x14ac:dyDescent="0.2">
      <c r="A40" s="18" t="s">
        <v>175</v>
      </c>
      <c r="F40" s="51">
        <f>Прибыль!F16</f>
        <v>-7370919.2282630196</v>
      </c>
      <c r="G40" s="51">
        <f>Прибыль!G16</f>
        <v>-861464.33856146038</v>
      </c>
      <c r="H40" s="51">
        <f>Прибыль!H16</f>
        <v>-282640.59142499743</v>
      </c>
      <c r="I40" s="51">
        <f>Прибыль!I16</f>
        <v>2553880.9693000047</v>
      </c>
      <c r="J40" s="51">
        <f>Прибыль!J16</f>
        <v>5390402.5300250035</v>
      </c>
      <c r="K40" s="51">
        <f>Прибыль!K16</f>
        <v>8226924.0907500042</v>
      </c>
      <c r="L40" s="51">
        <f>Прибыль!L16</f>
        <v>8240042.1514750039</v>
      </c>
      <c r="M40" s="51">
        <f>Прибыль!M16</f>
        <v>8253160.2122000037</v>
      </c>
      <c r="N40" s="51">
        <f>Прибыль!N16</f>
        <v>8266278.2729250034</v>
      </c>
      <c r="O40" s="51">
        <f>Прибыль!O16</f>
        <v>8279396.3336500032</v>
      </c>
      <c r="P40" s="51">
        <f>Прибыль!P16</f>
        <v>9787966.8943750039</v>
      </c>
      <c r="Q40" s="51">
        <f>Прибыль!Q16</f>
        <v>9837586.5663500037</v>
      </c>
      <c r="R40" s="51">
        <f>Прибыль!R16</f>
        <v>9842233.6420250032</v>
      </c>
      <c r="S40" s="51">
        <f>Прибыль!S16</f>
        <v>9846880.7177000046</v>
      </c>
      <c r="T40" s="51">
        <f>Прибыль!T16</f>
        <v>9851527.7933750041</v>
      </c>
      <c r="U40" s="51">
        <f>Прибыль!U16</f>
        <v>9856174.8690500036</v>
      </c>
      <c r="V40" s="51">
        <f>Прибыль!V16</f>
        <v>9860821.944725005</v>
      </c>
      <c r="W40" s="51">
        <f>Прибыль!W16</f>
        <v>9865469.0204000045</v>
      </c>
      <c r="X40" s="51">
        <f>Прибыль!X16</f>
        <v>9870116.096075004</v>
      </c>
      <c r="Y40" s="51">
        <f>Прибыль!Y16</f>
        <v>9874763.1717500035</v>
      </c>
    </row>
    <row r="41" spans="1:26" s="18" customFormat="1" ht="15" x14ac:dyDescent="0.25">
      <c r="A41" s="18" t="s">
        <v>150</v>
      </c>
      <c r="F41" s="51">
        <f>Прибыль!F17</f>
        <v>0</v>
      </c>
      <c r="G41" s="51">
        <f>Прибыль!G17</f>
        <v>0</v>
      </c>
      <c r="H41" s="51">
        <f>Прибыль!H17</f>
        <v>0</v>
      </c>
      <c r="I41" s="51">
        <f>Прибыль!I17</f>
        <v>510776.19386000093</v>
      </c>
      <c r="J41" s="51">
        <f>Прибыль!J17</f>
        <v>1078080.5060050008</v>
      </c>
      <c r="K41" s="51">
        <f>Прибыль!K17</f>
        <v>1645384.8181500009</v>
      </c>
      <c r="L41" s="51">
        <f>Прибыль!L17</f>
        <v>1648008.4302950008</v>
      </c>
      <c r="M41" s="51">
        <f>Прибыль!M17</f>
        <v>1650632.0424400009</v>
      </c>
      <c r="N41" s="51">
        <f>Прибыль!N17</f>
        <v>1653255.6545850008</v>
      </c>
      <c r="O41" s="51">
        <f>Прибыль!O17</f>
        <v>1655879.2667300007</v>
      </c>
      <c r="P41" s="51">
        <f>Прибыль!P17</f>
        <v>1957593.3788750009</v>
      </c>
      <c r="Q41" s="51">
        <f>Прибыль!Q17</f>
        <v>1967517.3132700007</v>
      </c>
      <c r="R41" s="51">
        <f>Прибыль!R17</f>
        <v>1968446.7284050006</v>
      </c>
      <c r="S41" s="51">
        <f>Прибыль!S17</f>
        <v>1969376.143540001</v>
      </c>
      <c r="T41" s="51">
        <f>Прибыль!T17</f>
        <v>1970305.5586750009</v>
      </c>
      <c r="U41" s="51">
        <f>Прибыль!U17</f>
        <v>1971234.9738100008</v>
      </c>
      <c r="V41" s="51">
        <f>Прибыль!V17</f>
        <v>1972164.3889450012</v>
      </c>
      <c r="W41" s="51">
        <f>Прибыль!W17</f>
        <v>1973093.8040800011</v>
      </c>
      <c r="X41" s="51">
        <f>Прибыль!X17</f>
        <v>1974023.219215001</v>
      </c>
      <c r="Y41" s="51">
        <f>Прибыль!Y17</f>
        <v>1974952.6343500009</v>
      </c>
      <c r="Z41" s="81">
        <f>SUM(F41:Y41)</f>
        <v>29540725.055230021</v>
      </c>
    </row>
    <row r="42" spans="1:26" s="18" customFormat="1" x14ac:dyDescent="0.2"/>
    <row r="43" spans="1:26" s="18" customFormat="1" x14ac:dyDescent="0.2">
      <c r="F43" s="18">
        <f>IF(F25=0,0,1)</f>
        <v>0</v>
      </c>
    </row>
    <row r="44" spans="1:26" s="18" customFormat="1" x14ac:dyDescent="0.2">
      <c r="A44" s="18" t="s">
        <v>180</v>
      </c>
      <c r="F44" s="82">
        <f>IF(F25=0,0,F9/F25)</f>
        <v>0</v>
      </c>
      <c r="G44" s="82">
        <f>IF(G25=0,0,G9/G25)</f>
        <v>5.8005772412352509E-3</v>
      </c>
      <c r="H44" s="82">
        <f t="shared" ref="H44:Y44" si="31">IF(H25=0,0,H9/H25)</f>
        <v>1.3143643540564361E-2</v>
      </c>
      <c r="I44" s="82">
        <f t="shared" si="31"/>
        <v>3.1493514677619718E-2</v>
      </c>
      <c r="J44" s="82">
        <f t="shared" si="31"/>
        <v>4.6711270824216292E-2</v>
      </c>
      <c r="K44" s="82">
        <f t="shared" si="31"/>
        <v>5.888547574149354E-2</v>
      </c>
      <c r="L44" s="82">
        <f t="shared" si="31"/>
        <v>5.8727474407859089E-2</v>
      </c>
      <c r="M44" s="82">
        <f t="shared" si="31"/>
        <v>5.8569473074224644E-2</v>
      </c>
      <c r="N44" s="82">
        <f t="shared" si="31"/>
        <v>5.8411471740590193E-2</v>
      </c>
      <c r="O44" s="82">
        <f t="shared" si="31"/>
        <v>5.8253470406955749E-2</v>
      </c>
      <c r="P44" s="82">
        <f t="shared" si="31"/>
        <v>6.2598487742396888E-2</v>
      </c>
      <c r="Q44" s="82">
        <f t="shared" si="31"/>
        <v>6.2674230928485411E-2</v>
      </c>
      <c r="R44" s="82">
        <f t="shared" si="31"/>
        <v>6.2618258923968689E-2</v>
      </c>
      <c r="S44" s="82">
        <f t="shared" si="31"/>
        <v>6.2562286919451982E-2</v>
      </c>
      <c r="T44" s="82">
        <f t="shared" si="31"/>
        <v>6.2506314914935274E-2</v>
      </c>
      <c r="U44" s="82">
        <f t="shared" si="31"/>
        <v>6.2450342910418559E-2</v>
      </c>
      <c r="V44" s="82">
        <f t="shared" si="31"/>
        <v>6.2394370905901858E-2</v>
      </c>
      <c r="W44" s="82">
        <f t="shared" si="31"/>
        <v>6.2338398901385136E-2</v>
      </c>
      <c r="X44" s="82">
        <f>IF(X25=0,0,X9/X25)</f>
        <v>6.2282426896868429E-2</v>
      </c>
      <c r="Y44" s="82">
        <f t="shared" si="31"/>
        <v>6.2226454892351714E-2</v>
      </c>
    </row>
    <row r="45" spans="1:26" s="35" customFormat="1" ht="15" thickBot="1" x14ac:dyDescent="0.25"/>
    <row r="46" spans="1:26" ht="15" thickTop="1" x14ac:dyDescent="0.2"/>
    <row r="47" spans="1:26" ht="15" thickBot="1" x14ac:dyDescent="0.25"/>
    <row r="48" spans="1:26" s="36" customFormat="1" ht="27.75" thickTop="1" thickBot="1" x14ac:dyDescent="0.45">
      <c r="A48" s="365" t="s">
        <v>32</v>
      </c>
      <c r="B48" s="365"/>
      <c r="C48" s="366"/>
    </row>
    <row r="49" s="37" customFormat="1" ht="15" thickTop="1" x14ac:dyDescent="0.2"/>
    <row r="50" s="37" customFormat="1" x14ac:dyDescent="0.2"/>
    <row r="51" s="37" customFormat="1" x14ac:dyDescent="0.2"/>
    <row r="52" s="37" customFormat="1" x14ac:dyDescent="0.2"/>
    <row r="53" s="37" customFormat="1" x14ac:dyDescent="0.2"/>
    <row r="54" s="37" customFormat="1" x14ac:dyDescent="0.2"/>
    <row r="55" s="37" customFormat="1" x14ac:dyDescent="0.2"/>
    <row r="56" s="37" customFormat="1" x14ac:dyDescent="0.2"/>
    <row r="57" s="37" customFormat="1" x14ac:dyDescent="0.2"/>
    <row r="58" s="37" customFormat="1" x14ac:dyDescent="0.2"/>
    <row r="59" s="37" customFormat="1" x14ac:dyDescent="0.2"/>
    <row r="60" s="37" customFormat="1" x14ac:dyDescent="0.2"/>
    <row r="61" s="37" customFormat="1" x14ac:dyDescent="0.2"/>
    <row r="62" s="37" customFormat="1" x14ac:dyDescent="0.2"/>
    <row r="63" s="37" customFormat="1" x14ac:dyDescent="0.2"/>
    <row r="64" s="37" customFormat="1" x14ac:dyDescent="0.2"/>
    <row r="65" s="37" customFormat="1" x14ac:dyDescent="0.2"/>
    <row r="66" s="37" customFormat="1" x14ac:dyDescent="0.2"/>
    <row r="67" s="37" customFormat="1" x14ac:dyDescent="0.2"/>
    <row r="68" s="37" customFormat="1" x14ac:dyDescent="0.2"/>
    <row r="69" s="37" customFormat="1" x14ac:dyDescent="0.2"/>
    <row r="70" s="37" customFormat="1" x14ac:dyDescent="0.2"/>
    <row r="71" s="37" customFormat="1" x14ac:dyDescent="0.2"/>
    <row r="72" s="37" customFormat="1" x14ac:dyDescent="0.2"/>
    <row r="73" s="37" customFormat="1" x14ac:dyDescent="0.2"/>
    <row r="74" s="37" customFormat="1" x14ac:dyDescent="0.2"/>
    <row r="75" s="37" customFormat="1" x14ac:dyDescent="0.2"/>
    <row r="76" s="37" customFormat="1" x14ac:dyDescent="0.2"/>
    <row r="77" s="37" customFormat="1" x14ac:dyDescent="0.2"/>
    <row r="78" s="37" customFormat="1" x14ac:dyDescent="0.2"/>
    <row r="79" s="37" customFormat="1" x14ac:dyDescent="0.2"/>
    <row r="80" s="38" customFormat="1" ht="15" thickBot="1" x14ac:dyDescent="0.25"/>
    <row r="81" ht="15" thickTop="1" x14ac:dyDescent="0.2"/>
  </sheetData>
  <mergeCells count="13">
    <mergeCell ref="A48:C48"/>
    <mergeCell ref="R3:U3"/>
    <mergeCell ref="V3:Y3"/>
    <mergeCell ref="F10:I10"/>
    <mergeCell ref="J10:M10"/>
    <mergeCell ref="N10:Q10"/>
    <mergeCell ref="R10:U10"/>
    <mergeCell ref="V10:Y10"/>
    <mergeCell ref="A2:C2"/>
    <mergeCell ref="A13:C13"/>
    <mergeCell ref="F3:I3"/>
    <mergeCell ref="J3:M3"/>
    <mergeCell ref="N3:Q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CC"/>
  </sheetPr>
  <dimension ref="A1:AB63"/>
  <sheetViews>
    <sheetView topLeftCell="A31" workbookViewId="0">
      <selection activeCell="C41" sqref="C41"/>
    </sheetView>
  </sheetViews>
  <sheetFormatPr defaultColWidth="9.28515625" defaultRowHeight="14.25" x14ac:dyDescent="0.2"/>
  <cols>
    <col min="1" max="1" width="40.42578125" style="1" customWidth="1"/>
    <col min="2" max="2" width="11.28515625" style="1" bestFit="1" customWidth="1"/>
    <col min="3" max="3" width="24" style="1" bestFit="1" customWidth="1"/>
    <col min="4" max="4" width="30.42578125" style="1" bestFit="1" customWidth="1"/>
    <col min="5" max="5" width="9.28515625" style="1"/>
    <col min="6" max="7" width="12.5703125" style="1" customWidth="1"/>
    <col min="8" max="22" width="11.28515625" style="1" bestFit="1" customWidth="1"/>
    <col min="23" max="25" width="10.140625" style="1" bestFit="1" customWidth="1"/>
    <col min="26" max="26" width="27.42578125" style="1" bestFit="1" customWidth="1"/>
    <col min="27" max="27" width="9.28515625" style="1"/>
    <col min="28" max="28" width="38.85546875" style="1" bestFit="1" customWidth="1"/>
    <col min="29" max="16384" width="9.28515625" style="1"/>
  </cols>
  <sheetData>
    <row r="1" spans="1:28" ht="15" thickBot="1" x14ac:dyDescent="0.25"/>
    <row r="2" spans="1:28" s="2" customFormat="1" ht="21.75" thickTop="1" thickBot="1" x14ac:dyDescent="0.35">
      <c r="A2" s="382" t="s">
        <v>146</v>
      </c>
      <c r="B2" s="382"/>
      <c r="C2" s="383"/>
    </row>
    <row r="3" spans="1:28" s="3" customFormat="1" ht="15" thickTop="1" x14ac:dyDescent="0.2"/>
    <row r="4" spans="1:28" s="3" customFormat="1" x14ac:dyDescent="0.2">
      <c r="F4" s="355" t="s">
        <v>34</v>
      </c>
      <c r="G4" s="356"/>
      <c r="H4" s="356"/>
      <c r="I4" s="357"/>
      <c r="J4" s="355" t="s">
        <v>35</v>
      </c>
      <c r="K4" s="356"/>
      <c r="L4" s="356"/>
      <c r="M4" s="357"/>
      <c r="N4" s="355" t="s">
        <v>36</v>
      </c>
      <c r="O4" s="356"/>
      <c r="P4" s="356"/>
      <c r="Q4" s="357"/>
      <c r="R4" s="355" t="s">
        <v>37</v>
      </c>
      <c r="S4" s="356"/>
      <c r="T4" s="356"/>
      <c r="U4" s="357"/>
      <c r="V4" s="355" t="s">
        <v>38</v>
      </c>
      <c r="W4" s="356"/>
      <c r="X4" s="356"/>
      <c r="Y4" s="357"/>
    </row>
    <row r="5" spans="1:28" s="3" customFormat="1" ht="15" x14ac:dyDescent="0.25">
      <c r="F5" s="7" t="str">
        <f>'Параметры Доходы'!F4</f>
        <v>1 кв.</v>
      </c>
      <c r="G5" s="3" t="str">
        <f>'Параметры Доходы'!G4</f>
        <v>2 кв.</v>
      </c>
      <c r="H5" s="3" t="str">
        <f>'Параметры Доходы'!H4</f>
        <v>3 кв.</v>
      </c>
      <c r="I5" s="8" t="str">
        <f>'Параметры Доходы'!I4</f>
        <v>4 кв.</v>
      </c>
      <c r="J5" s="7" t="str">
        <f>'Параметры Доходы'!J4</f>
        <v>5 кв.</v>
      </c>
      <c r="K5" s="3" t="str">
        <f>'Параметры Доходы'!K4</f>
        <v>6 кв.</v>
      </c>
      <c r="L5" s="3" t="str">
        <f>'Параметры Доходы'!L4</f>
        <v>7 кв.</v>
      </c>
      <c r="M5" s="8" t="str">
        <f>'Параметры Доходы'!M4</f>
        <v>8 кв.</v>
      </c>
      <c r="N5" s="7" t="str">
        <f>'Параметры Доходы'!N4</f>
        <v>9 кв.</v>
      </c>
      <c r="O5" s="3" t="str">
        <f>'Параметры Доходы'!O4</f>
        <v>10 кв.</v>
      </c>
      <c r="P5" s="3" t="str">
        <f>'Параметры Доходы'!P4</f>
        <v>11 кв.</v>
      </c>
      <c r="Q5" s="8" t="str">
        <f>'Параметры Доходы'!Q4</f>
        <v>12 кв.</v>
      </c>
      <c r="R5" s="7" t="str">
        <f>'Параметры Доходы'!R4</f>
        <v>13 кв.</v>
      </c>
      <c r="S5" s="3" t="str">
        <f>'Параметры Доходы'!S4</f>
        <v>14 кв.</v>
      </c>
      <c r="T5" s="3" t="str">
        <f>'Параметры Доходы'!T4</f>
        <v>15 кв.</v>
      </c>
      <c r="U5" s="8" t="str">
        <f>'Параметры Доходы'!U4</f>
        <v>16 кв.</v>
      </c>
      <c r="V5" s="7" t="str">
        <f>'Параметры Доходы'!V4</f>
        <v>17 кв.</v>
      </c>
      <c r="W5" s="3" t="str">
        <f>'Параметры Доходы'!W4</f>
        <v>18 кв.</v>
      </c>
      <c r="X5" s="3" t="str">
        <f>'Параметры Доходы'!X4</f>
        <v>19 кв.</v>
      </c>
      <c r="Y5" s="8" t="str">
        <f>'Параметры Доходы'!Y4</f>
        <v>20 кв.</v>
      </c>
      <c r="Z5" s="9" t="s">
        <v>144</v>
      </c>
    </row>
    <row r="6" spans="1:28" s="3" customFormat="1" ht="15" x14ac:dyDescent="0.25">
      <c r="A6" s="9" t="str">
        <f t="shared" ref="A6:A11" si="0">A36</f>
        <v>Амортизируемое имущество</v>
      </c>
      <c r="B6" s="75"/>
      <c r="C6" s="75"/>
      <c r="F6" s="7"/>
      <c r="I6" s="8"/>
      <c r="J6" s="7"/>
      <c r="M6" s="8"/>
      <c r="N6" s="7"/>
      <c r="Q6" s="8"/>
      <c r="R6" s="7"/>
      <c r="U6" s="8"/>
      <c r="V6" s="7"/>
      <c r="Y6" s="8"/>
      <c r="Z6" s="9"/>
    </row>
    <row r="7" spans="1:28" s="3" customFormat="1" ht="15" x14ac:dyDescent="0.25">
      <c r="A7" s="3" t="str">
        <f t="shared" si="0"/>
        <v>Депозит по аренде цеха на 6 месяцев</v>
      </c>
      <c r="B7" s="10">
        <f>B37</f>
        <v>3156600</v>
      </c>
      <c r="C7" s="75"/>
      <c r="F7" s="11">
        <f>B7</f>
        <v>3156600</v>
      </c>
      <c r="G7" s="10">
        <f t="shared" ref="G7:Z7" si="1">F7-F15</f>
        <v>2998770</v>
      </c>
      <c r="H7" s="10">
        <f t="shared" si="1"/>
        <v>2840940</v>
      </c>
      <c r="I7" s="12">
        <f t="shared" si="1"/>
        <v>2683110</v>
      </c>
      <c r="J7" s="11">
        <f t="shared" si="1"/>
        <v>2525280</v>
      </c>
      <c r="K7" s="10">
        <f t="shared" si="1"/>
        <v>2367450</v>
      </c>
      <c r="L7" s="10">
        <f t="shared" si="1"/>
        <v>2209620</v>
      </c>
      <c r="M7" s="12">
        <f t="shared" si="1"/>
        <v>2051790</v>
      </c>
      <c r="N7" s="11">
        <f t="shared" si="1"/>
        <v>1893960</v>
      </c>
      <c r="O7" s="10">
        <f t="shared" si="1"/>
        <v>1736130</v>
      </c>
      <c r="P7" s="10">
        <f t="shared" si="1"/>
        <v>1578300</v>
      </c>
      <c r="Q7" s="12">
        <f t="shared" si="1"/>
        <v>1420470</v>
      </c>
      <c r="R7" s="11">
        <f t="shared" si="1"/>
        <v>1262640</v>
      </c>
      <c r="S7" s="10">
        <f t="shared" si="1"/>
        <v>1104810</v>
      </c>
      <c r="T7" s="10">
        <f t="shared" si="1"/>
        <v>946980</v>
      </c>
      <c r="U7" s="12">
        <f t="shared" si="1"/>
        <v>789150</v>
      </c>
      <c r="V7" s="11">
        <f t="shared" si="1"/>
        <v>631320</v>
      </c>
      <c r="W7" s="10">
        <f t="shared" si="1"/>
        <v>473490</v>
      </c>
      <c r="X7" s="10">
        <f t="shared" si="1"/>
        <v>315660</v>
      </c>
      <c r="Y7" s="12">
        <f t="shared" si="1"/>
        <v>157830</v>
      </c>
      <c r="Z7" s="13">
        <f t="shared" si="1"/>
        <v>0</v>
      </c>
    </row>
    <row r="8" spans="1:28" s="3" customFormat="1" ht="15" x14ac:dyDescent="0.25">
      <c r="A8" s="3" t="str">
        <f t="shared" si="0"/>
        <v>Депозит по аренде офиса на 3 месяца</v>
      </c>
      <c r="B8" s="10">
        <f>B38</f>
        <v>241857</v>
      </c>
      <c r="C8" s="75"/>
      <c r="F8" s="11">
        <f>B8</f>
        <v>241857</v>
      </c>
      <c r="G8" s="10">
        <f t="shared" ref="G8:Z8" si="2">F8-F16</f>
        <v>229764.15</v>
      </c>
      <c r="H8" s="10">
        <f t="shared" si="2"/>
        <v>217671.3</v>
      </c>
      <c r="I8" s="12">
        <f t="shared" si="2"/>
        <v>205578.44999999998</v>
      </c>
      <c r="J8" s="11">
        <f t="shared" si="2"/>
        <v>193485.59999999998</v>
      </c>
      <c r="K8" s="10">
        <f t="shared" si="2"/>
        <v>181392.74999999997</v>
      </c>
      <c r="L8" s="10">
        <f t="shared" si="2"/>
        <v>169299.89999999997</v>
      </c>
      <c r="M8" s="12">
        <f t="shared" si="2"/>
        <v>157207.04999999996</v>
      </c>
      <c r="N8" s="11">
        <f t="shared" si="2"/>
        <v>145114.19999999995</v>
      </c>
      <c r="O8" s="10">
        <f t="shared" si="2"/>
        <v>133021.34999999995</v>
      </c>
      <c r="P8" s="10">
        <f t="shared" si="2"/>
        <v>120928.49999999994</v>
      </c>
      <c r="Q8" s="12">
        <f t="shared" si="2"/>
        <v>108835.64999999994</v>
      </c>
      <c r="R8" s="11">
        <f t="shared" si="2"/>
        <v>96742.79999999993</v>
      </c>
      <c r="S8" s="10">
        <f t="shared" si="2"/>
        <v>84649.949999999924</v>
      </c>
      <c r="T8" s="10">
        <f t="shared" si="2"/>
        <v>72557.099999999919</v>
      </c>
      <c r="U8" s="12">
        <f t="shared" si="2"/>
        <v>60464.24999999992</v>
      </c>
      <c r="V8" s="11">
        <f t="shared" si="2"/>
        <v>48371.399999999921</v>
      </c>
      <c r="W8" s="10">
        <f t="shared" si="2"/>
        <v>36278.549999999923</v>
      </c>
      <c r="X8" s="10">
        <f t="shared" si="2"/>
        <v>24185.699999999924</v>
      </c>
      <c r="Y8" s="12">
        <f t="shared" si="2"/>
        <v>12092.849999999924</v>
      </c>
      <c r="Z8" s="13">
        <f t="shared" si="2"/>
        <v>-7.6397554948925972E-11</v>
      </c>
    </row>
    <row r="9" spans="1:28" s="3" customFormat="1" ht="15" x14ac:dyDescent="0.25">
      <c r="A9" s="3" t="str">
        <f t="shared" si="0"/>
        <v>Расчет инвестиций в цех (оборудование, инструмент, мебель)</v>
      </c>
      <c r="B9" s="10">
        <f>B39</f>
        <v>14954525</v>
      </c>
      <c r="C9" s="75"/>
      <c r="F9" s="11">
        <f t="shared" ref="F9:F11" si="3">B9</f>
        <v>14954525</v>
      </c>
      <c r="G9" s="10">
        <f t="shared" ref="G9:Z9" si="4">F9-F17</f>
        <v>13459072.5</v>
      </c>
      <c r="H9" s="10">
        <f t="shared" si="4"/>
        <v>11963620</v>
      </c>
      <c r="I9" s="12">
        <f t="shared" si="4"/>
        <v>10468167.5</v>
      </c>
      <c r="J9" s="11">
        <f t="shared" si="4"/>
        <v>8972715</v>
      </c>
      <c r="K9" s="10">
        <f t="shared" si="4"/>
        <v>7477262.5</v>
      </c>
      <c r="L9" s="10">
        <f t="shared" si="4"/>
        <v>5981810</v>
      </c>
      <c r="M9" s="12">
        <f t="shared" si="4"/>
        <v>4486357.5</v>
      </c>
      <c r="N9" s="11">
        <f t="shared" si="4"/>
        <v>2990905</v>
      </c>
      <c r="O9" s="10">
        <f t="shared" si="4"/>
        <v>1495452.5</v>
      </c>
      <c r="P9" s="10">
        <f t="shared" si="4"/>
        <v>0</v>
      </c>
      <c r="Q9" s="12">
        <f t="shared" si="4"/>
        <v>0</v>
      </c>
      <c r="R9" s="11">
        <f t="shared" si="4"/>
        <v>0</v>
      </c>
      <c r="S9" s="10">
        <f t="shared" si="4"/>
        <v>0</v>
      </c>
      <c r="T9" s="10">
        <f t="shared" si="4"/>
        <v>0</v>
      </c>
      <c r="U9" s="12">
        <f t="shared" si="4"/>
        <v>0</v>
      </c>
      <c r="V9" s="11">
        <f t="shared" si="4"/>
        <v>0</v>
      </c>
      <c r="W9" s="10">
        <f t="shared" si="4"/>
        <v>0</v>
      </c>
      <c r="X9" s="10">
        <f t="shared" si="4"/>
        <v>0</v>
      </c>
      <c r="Y9" s="12">
        <f t="shared" si="4"/>
        <v>0</v>
      </c>
      <c r="Z9" s="13">
        <f t="shared" si="4"/>
        <v>0</v>
      </c>
    </row>
    <row r="10" spans="1:28" s="3" customFormat="1" ht="15" x14ac:dyDescent="0.25">
      <c r="A10" s="3" t="str">
        <f t="shared" si="0"/>
        <v>Покупка автотранспортных средств</v>
      </c>
      <c r="B10" s="10">
        <f>B40</f>
        <v>13500000</v>
      </c>
      <c r="C10" s="75"/>
      <c r="F10" s="11">
        <f t="shared" si="3"/>
        <v>13500000</v>
      </c>
      <c r="G10" s="10"/>
      <c r="H10" s="10">
        <f t="shared" ref="H10" si="5">B10</f>
        <v>13500000</v>
      </c>
      <c r="I10" s="12">
        <f t="shared" ref="I10:Z10" si="6">H10-H18</f>
        <v>12825000</v>
      </c>
      <c r="J10" s="11">
        <f t="shared" si="6"/>
        <v>12150000</v>
      </c>
      <c r="K10" s="10">
        <f t="shared" si="6"/>
        <v>11475000</v>
      </c>
      <c r="L10" s="10">
        <f t="shared" si="6"/>
        <v>10800000</v>
      </c>
      <c r="M10" s="12">
        <f t="shared" si="6"/>
        <v>10125000</v>
      </c>
      <c r="N10" s="11">
        <f t="shared" si="6"/>
        <v>9450000</v>
      </c>
      <c r="O10" s="10">
        <f t="shared" si="6"/>
        <v>8775000</v>
      </c>
      <c r="P10" s="10">
        <f t="shared" si="6"/>
        <v>8100000</v>
      </c>
      <c r="Q10" s="12">
        <f t="shared" si="6"/>
        <v>7425000</v>
      </c>
      <c r="R10" s="11">
        <f t="shared" si="6"/>
        <v>6750000</v>
      </c>
      <c r="S10" s="10">
        <f t="shared" si="6"/>
        <v>6075000</v>
      </c>
      <c r="T10" s="10">
        <f t="shared" si="6"/>
        <v>5400000</v>
      </c>
      <c r="U10" s="12">
        <f t="shared" si="6"/>
        <v>4725000</v>
      </c>
      <c r="V10" s="11">
        <f t="shared" si="6"/>
        <v>4050000</v>
      </c>
      <c r="W10" s="10">
        <f t="shared" si="6"/>
        <v>3375000</v>
      </c>
      <c r="X10" s="10">
        <f t="shared" si="6"/>
        <v>2700000</v>
      </c>
      <c r="Y10" s="12">
        <f t="shared" si="6"/>
        <v>2025000</v>
      </c>
      <c r="Z10" s="13">
        <f t="shared" si="6"/>
        <v>1350000</v>
      </c>
    </row>
    <row r="11" spans="1:28" s="3" customFormat="1" ht="15" x14ac:dyDescent="0.25">
      <c r="A11" s="3" t="str">
        <f t="shared" si="0"/>
        <v>Расчет инвестиций в офис (мебель и оргтехника)</v>
      </c>
      <c r="B11" s="10">
        <f>B41</f>
        <v>447266</v>
      </c>
      <c r="C11" s="75"/>
      <c r="F11" s="11">
        <f t="shared" si="3"/>
        <v>447266</v>
      </c>
      <c r="G11" s="10">
        <f>F11-F19</f>
        <v>402539.4</v>
      </c>
      <c r="H11" s="10">
        <f>G11-G19</f>
        <v>357812.80000000005</v>
      </c>
      <c r="I11" s="12">
        <f t="shared" ref="I11:Z11" si="7">H11-H19</f>
        <v>313086.20000000007</v>
      </c>
      <c r="J11" s="11">
        <f t="shared" si="7"/>
        <v>268359.60000000009</v>
      </c>
      <c r="K11" s="10">
        <f t="shared" si="7"/>
        <v>223633.00000000009</v>
      </c>
      <c r="L11" s="10">
        <f t="shared" si="7"/>
        <v>178906.40000000008</v>
      </c>
      <c r="M11" s="12">
        <f t="shared" si="7"/>
        <v>134179.80000000008</v>
      </c>
      <c r="N11" s="11">
        <f t="shared" si="7"/>
        <v>89453.20000000007</v>
      </c>
      <c r="O11" s="10">
        <f t="shared" si="7"/>
        <v>44726.600000000071</v>
      </c>
      <c r="P11" s="10">
        <f t="shared" si="7"/>
        <v>7.2759576141834259E-11</v>
      </c>
      <c r="Q11" s="12">
        <f t="shared" si="7"/>
        <v>-44726.599999999926</v>
      </c>
      <c r="R11" s="11">
        <f t="shared" si="7"/>
        <v>-44726.599999999926</v>
      </c>
      <c r="S11" s="10">
        <f t="shared" si="7"/>
        <v>-44726.599999999926</v>
      </c>
      <c r="T11" s="10">
        <f t="shared" si="7"/>
        <v>-44726.599999999926</v>
      </c>
      <c r="U11" s="12">
        <f t="shared" si="7"/>
        <v>-44726.599999999926</v>
      </c>
      <c r="V11" s="11">
        <f t="shared" si="7"/>
        <v>-44726.599999999926</v>
      </c>
      <c r="W11" s="10">
        <f t="shared" si="7"/>
        <v>-44726.599999999926</v>
      </c>
      <c r="X11" s="10">
        <f t="shared" si="7"/>
        <v>-44726.599999999926</v>
      </c>
      <c r="Y11" s="12">
        <f t="shared" si="7"/>
        <v>-44726.599999999926</v>
      </c>
      <c r="Z11" s="13">
        <f t="shared" si="7"/>
        <v>-44726.599999999926</v>
      </c>
    </row>
    <row r="12" spans="1:28" s="3" customFormat="1" ht="15" x14ac:dyDescent="0.25">
      <c r="A12" s="9" t="s">
        <v>7</v>
      </c>
      <c r="B12" s="13"/>
      <c r="C12" s="76"/>
      <c r="D12" s="9"/>
      <c r="E12" s="9"/>
      <c r="F12" s="14">
        <f>SUM(F8:F11)</f>
        <v>29143648</v>
      </c>
      <c r="G12" s="13">
        <f t="shared" ref="G12" si="8">SUM(G8:G11)</f>
        <v>14091376.050000001</v>
      </c>
      <c r="H12" s="13">
        <f>SUM(H7:H11)</f>
        <v>28880044.100000001</v>
      </c>
      <c r="I12" s="13">
        <f t="shared" ref="I12:Z12" si="9">SUM(I7:I11)</f>
        <v>26494942.149999999</v>
      </c>
      <c r="J12" s="13">
        <f t="shared" si="9"/>
        <v>24109840.200000003</v>
      </c>
      <c r="K12" s="13">
        <f t="shared" si="9"/>
        <v>21724738.25</v>
      </c>
      <c r="L12" s="13">
        <f t="shared" si="9"/>
        <v>19339636.299999997</v>
      </c>
      <c r="M12" s="13">
        <f t="shared" si="9"/>
        <v>16954534.350000001</v>
      </c>
      <c r="N12" s="13">
        <f t="shared" si="9"/>
        <v>14569432.399999999</v>
      </c>
      <c r="O12" s="13">
        <f t="shared" si="9"/>
        <v>12184330.449999999</v>
      </c>
      <c r="P12" s="13">
        <f t="shared" si="9"/>
        <v>9799228.5</v>
      </c>
      <c r="Q12" s="13">
        <f t="shared" si="9"/>
        <v>8909579.0500000007</v>
      </c>
      <c r="R12" s="13">
        <f t="shared" si="9"/>
        <v>8064656.2000000002</v>
      </c>
      <c r="S12" s="13">
        <f t="shared" si="9"/>
        <v>7219733.3500000006</v>
      </c>
      <c r="T12" s="13">
        <f t="shared" si="9"/>
        <v>6374810.5</v>
      </c>
      <c r="U12" s="13">
        <f t="shared" si="9"/>
        <v>5529887.6500000004</v>
      </c>
      <c r="V12" s="13">
        <f t="shared" si="9"/>
        <v>4684964.8000000007</v>
      </c>
      <c r="W12" s="13">
        <f t="shared" si="9"/>
        <v>3840041.9499999997</v>
      </c>
      <c r="X12" s="13">
        <f t="shared" si="9"/>
        <v>2995119.1</v>
      </c>
      <c r="Y12" s="13">
        <f t="shared" si="9"/>
        <v>2150196.25</v>
      </c>
      <c r="Z12" s="13">
        <f t="shared" si="9"/>
        <v>1305273.4000000001</v>
      </c>
    </row>
    <row r="13" spans="1:28" s="3" customFormat="1" ht="15" x14ac:dyDescent="0.25">
      <c r="B13" s="10"/>
      <c r="C13" s="75"/>
      <c r="F13" s="11"/>
      <c r="G13" s="10"/>
      <c r="H13" s="10"/>
      <c r="I13" s="12"/>
      <c r="J13" s="11"/>
      <c r="K13" s="10"/>
      <c r="L13" s="10"/>
      <c r="M13" s="12"/>
      <c r="N13" s="11"/>
      <c r="O13" s="10"/>
      <c r="P13" s="10"/>
      <c r="Q13" s="12"/>
      <c r="R13" s="11"/>
      <c r="S13" s="10"/>
      <c r="T13" s="10"/>
      <c r="U13" s="12"/>
      <c r="V13" s="11"/>
      <c r="W13" s="10"/>
      <c r="X13" s="10"/>
      <c r="Y13" s="12"/>
      <c r="Z13" s="13"/>
    </row>
    <row r="14" spans="1:28" s="3" customFormat="1" ht="15" x14ac:dyDescent="0.25">
      <c r="A14" s="9" t="s">
        <v>143</v>
      </c>
      <c r="B14" s="10"/>
      <c r="C14" s="75"/>
      <c r="F14" s="11"/>
      <c r="G14" s="10"/>
      <c r="H14" s="10"/>
      <c r="I14" s="12"/>
      <c r="J14" s="11"/>
      <c r="K14" s="10"/>
      <c r="L14" s="10"/>
      <c r="M14" s="12"/>
      <c r="N14" s="11"/>
      <c r="O14" s="10"/>
      <c r="P14" s="10"/>
      <c r="Q14" s="12"/>
      <c r="R14" s="11"/>
      <c r="S14" s="10"/>
      <c r="T14" s="10"/>
      <c r="U14" s="12"/>
      <c r="V14" s="11"/>
      <c r="W14" s="10"/>
      <c r="X14" s="10"/>
      <c r="Y14" s="12"/>
      <c r="Z14" s="13" t="s">
        <v>145</v>
      </c>
      <c r="AB14" s="3" t="s">
        <v>147</v>
      </c>
    </row>
    <row r="15" spans="1:28" s="3" customFormat="1" ht="15" x14ac:dyDescent="0.25">
      <c r="A15" s="3" t="str">
        <f>A7</f>
        <v>Депозит по аренде цеха на 6 месяцев</v>
      </c>
      <c r="B15" s="10">
        <f>D37</f>
        <v>157830</v>
      </c>
      <c r="C15" s="75"/>
      <c r="F15" s="11">
        <f>IF(F7&gt;0,$D37,0)</f>
        <v>157830</v>
      </c>
      <c r="G15" s="11">
        <f t="shared" ref="G15:H15" si="10">IF(G7&gt;0,$D37,0)</f>
        <v>157830</v>
      </c>
      <c r="H15" s="11">
        <f t="shared" si="10"/>
        <v>157830</v>
      </c>
      <c r="I15" s="12">
        <f t="shared" ref="I15:Y15" si="11">IF(I7&gt;0,$D37,0)</f>
        <v>157830</v>
      </c>
      <c r="J15" s="11">
        <f t="shared" si="11"/>
        <v>157830</v>
      </c>
      <c r="K15" s="10">
        <f t="shared" si="11"/>
        <v>157830</v>
      </c>
      <c r="L15" s="10">
        <f t="shared" si="11"/>
        <v>157830</v>
      </c>
      <c r="M15" s="12">
        <f t="shared" si="11"/>
        <v>157830</v>
      </c>
      <c r="N15" s="11">
        <f t="shared" si="11"/>
        <v>157830</v>
      </c>
      <c r="O15" s="10">
        <f t="shared" si="11"/>
        <v>157830</v>
      </c>
      <c r="P15" s="10">
        <f t="shared" si="11"/>
        <v>157830</v>
      </c>
      <c r="Q15" s="12">
        <f t="shared" si="11"/>
        <v>157830</v>
      </c>
      <c r="R15" s="11">
        <f t="shared" si="11"/>
        <v>157830</v>
      </c>
      <c r="S15" s="10">
        <f t="shared" si="11"/>
        <v>157830</v>
      </c>
      <c r="T15" s="10">
        <f t="shared" si="11"/>
        <v>157830</v>
      </c>
      <c r="U15" s="12">
        <f t="shared" si="11"/>
        <v>157830</v>
      </c>
      <c r="V15" s="11">
        <f t="shared" si="11"/>
        <v>157830</v>
      </c>
      <c r="W15" s="10">
        <f t="shared" si="11"/>
        <v>157830</v>
      </c>
      <c r="X15" s="10">
        <f t="shared" si="11"/>
        <v>157830</v>
      </c>
      <c r="Y15" s="12">
        <f t="shared" si="11"/>
        <v>157830</v>
      </c>
      <c r="Z15" s="13">
        <f>SUM(F15:Y15)</f>
        <v>3156600</v>
      </c>
      <c r="AB15" s="77">
        <f>Z15/B7</f>
        <v>1</v>
      </c>
    </row>
    <row r="16" spans="1:28" s="3" customFormat="1" ht="15" x14ac:dyDescent="0.25">
      <c r="A16" s="3" t="str">
        <f>A8</f>
        <v>Депозит по аренде офиса на 3 месяца</v>
      </c>
      <c r="B16" s="10">
        <f>D38</f>
        <v>12092.85</v>
      </c>
      <c r="C16" s="75"/>
      <c r="F16" s="11">
        <f>IF(F8&gt;0,$D38,0)</f>
        <v>12092.85</v>
      </c>
      <c r="G16" s="10">
        <f t="shared" ref="G16:H19" si="12">IF(G8&gt;0,$D38,0)</f>
        <v>12092.85</v>
      </c>
      <c r="H16" s="10">
        <f t="shared" si="12"/>
        <v>12092.85</v>
      </c>
      <c r="I16" s="12">
        <f t="shared" ref="I16:Y16" si="13">IF(I8&gt;0,$D38,0)</f>
        <v>12092.85</v>
      </c>
      <c r="J16" s="11">
        <f t="shared" si="13"/>
        <v>12092.85</v>
      </c>
      <c r="K16" s="10">
        <f t="shared" si="13"/>
        <v>12092.85</v>
      </c>
      <c r="L16" s="10">
        <f t="shared" si="13"/>
        <v>12092.85</v>
      </c>
      <c r="M16" s="12">
        <f t="shared" si="13"/>
        <v>12092.85</v>
      </c>
      <c r="N16" s="11">
        <f t="shared" si="13"/>
        <v>12092.85</v>
      </c>
      <c r="O16" s="10">
        <f t="shared" si="13"/>
        <v>12092.85</v>
      </c>
      <c r="P16" s="10">
        <f t="shared" si="13"/>
        <v>12092.85</v>
      </c>
      <c r="Q16" s="12">
        <f t="shared" si="13"/>
        <v>12092.85</v>
      </c>
      <c r="R16" s="11">
        <f t="shared" si="13"/>
        <v>12092.85</v>
      </c>
      <c r="S16" s="10">
        <f t="shared" si="13"/>
        <v>12092.85</v>
      </c>
      <c r="T16" s="10">
        <f t="shared" si="13"/>
        <v>12092.85</v>
      </c>
      <c r="U16" s="12">
        <f t="shared" si="13"/>
        <v>12092.85</v>
      </c>
      <c r="V16" s="11">
        <f t="shared" si="13"/>
        <v>12092.85</v>
      </c>
      <c r="W16" s="10">
        <f t="shared" si="13"/>
        <v>12092.85</v>
      </c>
      <c r="X16" s="10">
        <f t="shared" si="13"/>
        <v>12092.85</v>
      </c>
      <c r="Y16" s="12">
        <f t="shared" si="13"/>
        <v>12092.85</v>
      </c>
      <c r="Z16" s="13">
        <f>SUM(F16:Y16)</f>
        <v>241857.00000000009</v>
      </c>
      <c r="AB16" s="77">
        <f>Z16/B8</f>
        <v>1.0000000000000004</v>
      </c>
    </row>
    <row r="17" spans="1:28" s="3" customFormat="1" ht="15" x14ac:dyDescent="0.25">
      <c r="A17" s="3" t="str">
        <f>A9</f>
        <v>Расчет инвестиций в цех (оборудование, инструмент, мебель)</v>
      </c>
      <c r="B17" s="10">
        <f t="shared" ref="B17:B19" si="14">D39</f>
        <v>1495452.5</v>
      </c>
      <c r="C17" s="75"/>
      <c r="F17" s="11">
        <f>IF(F9&gt;0,$D39,0)</f>
        <v>1495452.5</v>
      </c>
      <c r="G17" s="10">
        <f t="shared" si="12"/>
        <v>1495452.5</v>
      </c>
      <c r="H17" s="10">
        <f t="shared" si="12"/>
        <v>1495452.5</v>
      </c>
      <c r="I17" s="12">
        <f t="shared" ref="I17:Y17" si="15">IF(I9&gt;0,$D39,0)</f>
        <v>1495452.5</v>
      </c>
      <c r="J17" s="11">
        <f t="shared" si="15"/>
        <v>1495452.5</v>
      </c>
      <c r="K17" s="10">
        <f t="shared" si="15"/>
        <v>1495452.5</v>
      </c>
      <c r="L17" s="10">
        <f t="shared" si="15"/>
        <v>1495452.5</v>
      </c>
      <c r="M17" s="12">
        <f t="shared" si="15"/>
        <v>1495452.5</v>
      </c>
      <c r="N17" s="11">
        <f t="shared" si="15"/>
        <v>1495452.5</v>
      </c>
      <c r="O17" s="10">
        <f t="shared" si="15"/>
        <v>1495452.5</v>
      </c>
      <c r="P17" s="10">
        <f t="shared" si="15"/>
        <v>0</v>
      </c>
      <c r="Q17" s="12">
        <f t="shared" si="15"/>
        <v>0</v>
      </c>
      <c r="R17" s="11">
        <f t="shared" si="15"/>
        <v>0</v>
      </c>
      <c r="S17" s="10">
        <f t="shared" si="15"/>
        <v>0</v>
      </c>
      <c r="T17" s="10">
        <f t="shared" si="15"/>
        <v>0</v>
      </c>
      <c r="U17" s="12">
        <f t="shared" si="15"/>
        <v>0</v>
      </c>
      <c r="V17" s="11">
        <f t="shared" si="15"/>
        <v>0</v>
      </c>
      <c r="W17" s="10">
        <f t="shared" si="15"/>
        <v>0</v>
      </c>
      <c r="X17" s="10">
        <f t="shared" si="15"/>
        <v>0</v>
      </c>
      <c r="Y17" s="12">
        <f t="shared" si="15"/>
        <v>0</v>
      </c>
      <c r="Z17" s="13">
        <f t="shared" ref="Z17:Z19" si="16">SUM(F17:Y17)</f>
        <v>14954525</v>
      </c>
      <c r="AB17" s="77">
        <f>Z17/B9</f>
        <v>1</v>
      </c>
    </row>
    <row r="18" spans="1:28" s="3" customFormat="1" ht="15" x14ac:dyDescent="0.25">
      <c r="A18" s="3" t="str">
        <f>A10</f>
        <v>Покупка автотранспортных средств</v>
      </c>
      <c r="B18" s="10">
        <f t="shared" si="14"/>
        <v>675000</v>
      </c>
      <c r="C18" s="75"/>
      <c r="F18" s="11">
        <f>IF(F10&gt;0,$D40,0)</f>
        <v>675000</v>
      </c>
      <c r="G18" s="10">
        <f t="shared" si="12"/>
        <v>0</v>
      </c>
      <c r="H18" s="10">
        <f t="shared" si="12"/>
        <v>675000</v>
      </c>
      <c r="I18" s="12">
        <f t="shared" ref="I18:Y18" si="17">IF(I10&gt;0,$D40,0)</f>
        <v>675000</v>
      </c>
      <c r="J18" s="11">
        <f t="shared" si="17"/>
        <v>675000</v>
      </c>
      <c r="K18" s="10">
        <f t="shared" si="17"/>
        <v>675000</v>
      </c>
      <c r="L18" s="10">
        <f t="shared" si="17"/>
        <v>675000</v>
      </c>
      <c r="M18" s="12">
        <f t="shared" si="17"/>
        <v>675000</v>
      </c>
      <c r="N18" s="11">
        <f t="shared" si="17"/>
        <v>675000</v>
      </c>
      <c r="O18" s="10">
        <f t="shared" si="17"/>
        <v>675000</v>
      </c>
      <c r="P18" s="10">
        <f t="shared" si="17"/>
        <v>675000</v>
      </c>
      <c r="Q18" s="12">
        <f t="shared" si="17"/>
        <v>675000</v>
      </c>
      <c r="R18" s="11">
        <f t="shared" si="17"/>
        <v>675000</v>
      </c>
      <c r="S18" s="10">
        <f t="shared" si="17"/>
        <v>675000</v>
      </c>
      <c r="T18" s="10">
        <f t="shared" si="17"/>
        <v>675000</v>
      </c>
      <c r="U18" s="12">
        <f t="shared" si="17"/>
        <v>675000</v>
      </c>
      <c r="V18" s="11">
        <f t="shared" si="17"/>
        <v>675000</v>
      </c>
      <c r="W18" s="10">
        <f t="shared" si="17"/>
        <v>675000</v>
      </c>
      <c r="X18" s="10">
        <f t="shared" si="17"/>
        <v>675000</v>
      </c>
      <c r="Y18" s="12">
        <f t="shared" si="17"/>
        <v>675000</v>
      </c>
      <c r="Z18" s="13">
        <f t="shared" si="16"/>
        <v>12825000</v>
      </c>
      <c r="AB18" s="77">
        <v>0</v>
      </c>
    </row>
    <row r="19" spans="1:28" s="3" customFormat="1" ht="15" x14ac:dyDescent="0.25">
      <c r="A19" s="3" t="str">
        <f>A11</f>
        <v>Расчет инвестиций в офис (мебель и оргтехника)</v>
      </c>
      <c r="B19" s="10">
        <f t="shared" si="14"/>
        <v>44726.6</v>
      </c>
      <c r="C19" s="75"/>
      <c r="F19" s="11">
        <f>IF(F11&gt;0,$D41,0)</f>
        <v>44726.6</v>
      </c>
      <c r="G19" s="10">
        <f t="shared" si="12"/>
        <v>44726.6</v>
      </c>
      <c r="H19" s="10">
        <f t="shared" si="12"/>
        <v>44726.6</v>
      </c>
      <c r="I19" s="12">
        <f t="shared" ref="I19:Y19" si="18">IF(I11&gt;0,$D41,0)</f>
        <v>44726.6</v>
      </c>
      <c r="J19" s="11">
        <f t="shared" si="18"/>
        <v>44726.6</v>
      </c>
      <c r="K19" s="10">
        <f t="shared" si="18"/>
        <v>44726.6</v>
      </c>
      <c r="L19" s="10">
        <f t="shared" si="18"/>
        <v>44726.6</v>
      </c>
      <c r="M19" s="12">
        <f t="shared" si="18"/>
        <v>44726.6</v>
      </c>
      <c r="N19" s="11">
        <f t="shared" si="18"/>
        <v>44726.6</v>
      </c>
      <c r="O19" s="10">
        <f t="shared" si="18"/>
        <v>44726.6</v>
      </c>
      <c r="P19" s="10">
        <f t="shared" si="18"/>
        <v>44726.6</v>
      </c>
      <c r="Q19" s="12">
        <f t="shared" si="18"/>
        <v>0</v>
      </c>
      <c r="R19" s="11">
        <f t="shared" si="18"/>
        <v>0</v>
      </c>
      <c r="S19" s="10">
        <f t="shared" si="18"/>
        <v>0</v>
      </c>
      <c r="T19" s="10">
        <f t="shared" si="18"/>
        <v>0</v>
      </c>
      <c r="U19" s="12">
        <f t="shared" si="18"/>
        <v>0</v>
      </c>
      <c r="V19" s="11">
        <f t="shared" si="18"/>
        <v>0</v>
      </c>
      <c r="W19" s="10">
        <f t="shared" si="18"/>
        <v>0</v>
      </c>
      <c r="X19" s="10">
        <f t="shared" si="18"/>
        <v>0</v>
      </c>
      <c r="Y19" s="12">
        <f t="shared" si="18"/>
        <v>0</v>
      </c>
      <c r="Z19" s="13">
        <f t="shared" si="16"/>
        <v>491992.59999999986</v>
      </c>
      <c r="AB19" s="77">
        <f>Z19/B11</f>
        <v>1.0999999999999996</v>
      </c>
    </row>
    <row r="20" spans="1:28" s="3" customFormat="1" ht="15" x14ac:dyDescent="0.25">
      <c r="B20" s="75"/>
      <c r="C20" s="75"/>
      <c r="F20" s="13">
        <f>SUM(F16:F19)</f>
        <v>2227271.9500000002</v>
      </c>
      <c r="G20" s="13">
        <f t="shared" ref="G20" si="19">SUM(G16:G19)</f>
        <v>1552271.9500000002</v>
      </c>
      <c r="H20" s="13">
        <f>SUM(H15:H19)</f>
        <v>2385101.9500000002</v>
      </c>
      <c r="I20" s="13">
        <f t="shared" ref="I20:Z20" si="20">SUM(I15:I19)</f>
        <v>2385101.9500000002</v>
      </c>
      <c r="J20" s="13">
        <f t="shared" si="20"/>
        <v>2385101.9500000002</v>
      </c>
      <c r="K20" s="13">
        <f t="shared" si="20"/>
        <v>2385101.9500000002</v>
      </c>
      <c r="L20" s="13">
        <f t="shared" si="20"/>
        <v>2385101.9500000002</v>
      </c>
      <c r="M20" s="13">
        <f t="shared" si="20"/>
        <v>2385101.9500000002</v>
      </c>
      <c r="N20" s="13">
        <f t="shared" si="20"/>
        <v>2385101.9500000002</v>
      </c>
      <c r="O20" s="13">
        <f t="shared" si="20"/>
        <v>2385101.9500000002</v>
      </c>
      <c r="P20" s="13">
        <f t="shared" si="20"/>
        <v>889649.45</v>
      </c>
      <c r="Q20" s="13">
        <f t="shared" si="20"/>
        <v>844922.85</v>
      </c>
      <c r="R20" s="13">
        <f t="shared" si="20"/>
        <v>844922.85</v>
      </c>
      <c r="S20" s="13">
        <f t="shared" si="20"/>
        <v>844922.85</v>
      </c>
      <c r="T20" s="13">
        <f t="shared" si="20"/>
        <v>844922.85</v>
      </c>
      <c r="U20" s="13">
        <f t="shared" si="20"/>
        <v>844922.85</v>
      </c>
      <c r="V20" s="13">
        <f t="shared" si="20"/>
        <v>844922.85</v>
      </c>
      <c r="W20" s="13">
        <f t="shared" si="20"/>
        <v>844922.85</v>
      </c>
      <c r="X20" s="13">
        <f t="shared" si="20"/>
        <v>844922.85</v>
      </c>
      <c r="Y20" s="13">
        <f t="shared" si="20"/>
        <v>844922.85</v>
      </c>
      <c r="Z20" s="13">
        <f t="shared" si="20"/>
        <v>31669974.600000001</v>
      </c>
    </row>
    <row r="21" spans="1:28" s="41" customFormat="1" ht="15" thickBot="1" x14ac:dyDescent="0.25"/>
    <row r="22" spans="1:28" ht="15" thickTop="1" x14ac:dyDescent="0.2"/>
    <row r="23" spans="1:28" ht="15" thickBot="1" x14ac:dyDescent="0.25"/>
    <row r="24" spans="1:28" s="17" customFormat="1" ht="27.75" thickTop="1" thickBot="1" x14ac:dyDescent="0.45">
      <c r="A24" s="373" t="s">
        <v>148</v>
      </c>
      <c r="B24" s="373"/>
      <c r="C24" s="374"/>
    </row>
    <row r="25" spans="1:28" s="18" customFormat="1" ht="15" thickTop="1" x14ac:dyDescent="0.2"/>
    <row r="26" spans="1:28" s="18" customFormat="1" x14ac:dyDescent="0.2">
      <c r="A26" s="18" t="s">
        <v>139</v>
      </c>
    </row>
    <row r="27" spans="1:28" s="18" customFormat="1" x14ac:dyDescent="0.2">
      <c r="A27" s="18" t="str">
        <f>'Параметры инвестиции'!A5</f>
        <v>Депозит по аренде цеха на 6 месяцев</v>
      </c>
      <c r="B27" s="51">
        <f>'Параметры инвестиции'!B5</f>
        <v>3156600</v>
      </c>
    </row>
    <row r="28" spans="1:28" s="18" customFormat="1" x14ac:dyDescent="0.2">
      <c r="A28" s="18" t="str">
        <f>'Параметры инвестиции'!A6</f>
        <v>Депозит по аренде офиса на 3 месяца</v>
      </c>
      <c r="B28" s="51">
        <f>'Параметры инвестиции'!B6</f>
        <v>241857</v>
      </c>
    </row>
    <row r="29" spans="1:28" s="18" customFormat="1" x14ac:dyDescent="0.2">
      <c r="A29" s="18" t="str">
        <f>'Параметры инвестиции'!A7</f>
        <v>Расчет инвестиций в цех (оборудование, инструмент, мебель)</v>
      </c>
      <c r="B29" s="51">
        <f>'Параметры инвестиции'!B7</f>
        <v>14954525</v>
      </c>
    </row>
    <row r="30" spans="1:28" s="18" customFormat="1" x14ac:dyDescent="0.2">
      <c r="A30" s="18" t="str">
        <f>'Параметры инвестиции'!A8</f>
        <v>Покупка автотранспортных средств</v>
      </c>
      <c r="B30" s="51">
        <f>'Параметры инвестиции'!B8</f>
        <v>13500000</v>
      </c>
    </row>
    <row r="31" spans="1:28" s="18" customFormat="1" x14ac:dyDescent="0.2">
      <c r="A31" s="18" t="str">
        <f>'Параметры инвестиции'!A9</f>
        <v>Расчет инвестиций в офис (мебель и оргтехника)</v>
      </c>
      <c r="B31" s="51">
        <f>'Параметры инвестиции'!B9</f>
        <v>447266</v>
      </c>
    </row>
    <row r="32" spans="1:28" s="18" customFormat="1" x14ac:dyDescent="0.2">
      <c r="A32" s="18" t="str">
        <f>'Параметры инвестиции'!A10</f>
        <v>Подготовительные работы</v>
      </c>
      <c r="B32" s="51">
        <f>'Параметры инвестиции'!B10</f>
        <v>300000</v>
      </c>
    </row>
    <row r="33" spans="1:4" s="18" customFormat="1" x14ac:dyDescent="0.2">
      <c r="A33" s="18" t="str">
        <f>'Параметры инвестиции'!A11</f>
        <v>Маркетинг и реклама</v>
      </c>
      <c r="B33" s="51">
        <f>'Параметры инвестиции'!B11</f>
        <v>300000</v>
      </c>
    </row>
    <row r="34" spans="1:4" s="18" customFormat="1" x14ac:dyDescent="0.2">
      <c r="A34" s="18" t="str">
        <f>'Параметры инвестиции'!A12</f>
        <v>Прочие, 10% от инвестиций выше</v>
      </c>
      <c r="B34" s="51">
        <f>'Параметры инвестиции'!B12</f>
        <v>3290024.8000000003</v>
      </c>
    </row>
    <row r="35" spans="1:4" s="18" customFormat="1" x14ac:dyDescent="0.2">
      <c r="B35" s="51"/>
    </row>
    <row r="36" spans="1:4" s="18" customFormat="1" x14ac:dyDescent="0.2">
      <c r="A36" s="18" t="s">
        <v>140</v>
      </c>
      <c r="B36" s="51"/>
      <c r="C36" s="18" t="s">
        <v>141</v>
      </c>
      <c r="D36" s="18" t="s">
        <v>142</v>
      </c>
    </row>
    <row r="37" spans="1:4" s="18" customFormat="1" x14ac:dyDescent="0.2">
      <c r="A37" s="18" t="str">
        <f t="shared" ref="A37:B41" si="21">A27</f>
        <v>Депозит по аренде цеха на 6 месяцев</v>
      </c>
      <c r="B37" s="51">
        <f t="shared" si="21"/>
        <v>3156600</v>
      </c>
      <c r="C37" s="78">
        <v>5</v>
      </c>
      <c r="D37" s="51">
        <f>B37/C37/4</f>
        <v>157830</v>
      </c>
    </row>
    <row r="38" spans="1:4" s="18" customFormat="1" x14ac:dyDescent="0.2">
      <c r="A38" s="18" t="str">
        <f t="shared" si="21"/>
        <v>Депозит по аренде офиса на 3 месяца</v>
      </c>
      <c r="B38" s="51">
        <f t="shared" si="21"/>
        <v>241857</v>
      </c>
      <c r="C38" s="78">
        <v>5</v>
      </c>
      <c r="D38" s="51">
        <f>B38/C38/4</f>
        <v>12092.85</v>
      </c>
    </row>
    <row r="39" spans="1:4" s="18" customFormat="1" x14ac:dyDescent="0.2">
      <c r="A39" s="18" t="str">
        <f t="shared" si="21"/>
        <v>Расчет инвестиций в цех (оборудование, инструмент, мебель)</v>
      </c>
      <c r="B39" s="51">
        <f t="shared" si="21"/>
        <v>14954525</v>
      </c>
      <c r="C39" s="78">
        <v>2.5</v>
      </c>
      <c r="D39" s="51">
        <f t="shared" ref="D39:D41" si="22">B39/C39/4</f>
        <v>1495452.5</v>
      </c>
    </row>
    <row r="40" spans="1:4" s="18" customFormat="1" x14ac:dyDescent="0.2">
      <c r="A40" s="18" t="str">
        <f t="shared" si="21"/>
        <v>Покупка автотранспортных средств</v>
      </c>
      <c r="B40" s="51">
        <f t="shared" si="21"/>
        <v>13500000</v>
      </c>
      <c r="C40" s="78">
        <v>5</v>
      </c>
      <c r="D40" s="51">
        <f t="shared" si="22"/>
        <v>675000</v>
      </c>
    </row>
    <row r="41" spans="1:4" s="18" customFormat="1" x14ac:dyDescent="0.2">
      <c r="A41" s="18" t="str">
        <f t="shared" si="21"/>
        <v>Расчет инвестиций в офис (мебель и оргтехника)</v>
      </c>
      <c r="B41" s="51">
        <f t="shared" si="21"/>
        <v>447266</v>
      </c>
      <c r="C41" s="78">
        <v>2.5</v>
      </c>
      <c r="D41" s="51">
        <f t="shared" si="22"/>
        <v>44726.6</v>
      </c>
    </row>
    <row r="42" spans="1:4" s="35" customFormat="1" ht="15" thickBot="1" x14ac:dyDescent="0.25"/>
    <row r="43" spans="1:4" ht="15.75" thickTop="1" thickBot="1" x14ac:dyDescent="0.25"/>
    <row r="44" spans="1:4" s="36" customFormat="1" ht="27.75" thickTop="1" thickBot="1" x14ac:dyDescent="0.45">
      <c r="A44" s="365" t="s">
        <v>32</v>
      </c>
      <c r="B44" s="365"/>
      <c r="C44" s="366"/>
    </row>
    <row r="45" spans="1:4" s="37" customFormat="1" ht="15" thickTop="1" x14ac:dyDescent="0.2"/>
    <row r="46" spans="1:4" s="37" customFormat="1" x14ac:dyDescent="0.2"/>
    <row r="47" spans="1:4" s="37" customFormat="1" x14ac:dyDescent="0.2"/>
    <row r="48" spans="1:4" s="37" customFormat="1" x14ac:dyDescent="0.2"/>
    <row r="49" s="37" customFormat="1" x14ac:dyDescent="0.2"/>
    <row r="50" s="37" customFormat="1" x14ac:dyDescent="0.2"/>
    <row r="51" s="37" customFormat="1" x14ac:dyDescent="0.2"/>
    <row r="52" s="37" customFormat="1" x14ac:dyDescent="0.2"/>
    <row r="53" s="37" customFormat="1" x14ac:dyDescent="0.2"/>
    <row r="54" s="37" customFormat="1" x14ac:dyDescent="0.2"/>
    <row r="55" s="37" customFormat="1" x14ac:dyDescent="0.2"/>
    <row r="56" s="37" customFormat="1" x14ac:dyDescent="0.2"/>
    <row r="57" s="37" customFormat="1" x14ac:dyDescent="0.2"/>
    <row r="58" s="37" customFormat="1" x14ac:dyDescent="0.2"/>
    <row r="59" s="37" customFormat="1" x14ac:dyDescent="0.2"/>
    <row r="60" s="37" customFormat="1" x14ac:dyDescent="0.2"/>
    <row r="61" s="37" customFormat="1" x14ac:dyDescent="0.2"/>
    <row r="62" s="38" customFormat="1" ht="15" thickBot="1" x14ac:dyDescent="0.25"/>
    <row r="63" ht="15" thickTop="1" x14ac:dyDescent="0.2"/>
  </sheetData>
  <mergeCells count="8">
    <mergeCell ref="V4:Y4"/>
    <mergeCell ref="A24:C24"/>
    <mergeCell ref="A44:C44"/>
    <mergeCell ref="A2:C2"/>
    <mergeCell ref="F4:I4"/>
    <mergeCell ref="J4:M4"/>
    <mergeCell ref="N4:Q4"/>
    <mergeCell ref="R4:U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-0.249977111117893"/>
  </sheetPr>
  <dimension ref="A1:AE58"/>
  <sheetViews>
    <sheetView workbookViewId="0">
      <selection activeCell="N7" sqref="N7:Q7"/>
    </sheetView>
  </sheetViews>
  <sheetFormatPr defaultRowHeight="14.25" x14ac:dyDescent="0.2"/>
  <cols>
    <col min="1" max="1" width="23" style="1" bestFit="1" customWidth="1"/>
    <col min="2" max="5" width="9.140625" style="1"/>
    <col min="6" max="6" width="12.85546875" style="1" customWidth="1"/>
    <col min="7" max="8" width="11.85546875" style="1" customWidth="1"/>
    <col min="9" max="25" width="11.28515625" style="1" bestFit="1" customWidth="1"/>
    <col min="26" max="26" width="12.42578125" style="1" bestFit="1" customWidth="1"/>
    <col min="27" max="27" width="9.140625" style="1"/>
    <col min="28" max="28" width="12.5703125" style="1" customWidth="1"/>
    <col min="29" max="29" width="9.140625" style="1"/>
    <col min="30" max="30" width="17.5703125" style="1" bestFit="1" customWidth="1"/>
    <col min="31" max="31" width="13.28515625" style="1" customWidth="1"/>
    <col min="32" max="16384" width="9.140625" style="1"/>
  </cols>
  <sheetData>
    <row r="1" spans="1:31" ht="15" thickBot="1" x14ac:dyDescent="0.25"/>
    <row r="2" spans="1:31" s="2" customFormat="1" ht="27" thickTop="1" x14ac:dyDescent="0.4">
      <c r="A2" s="384" t="s">
        <v>138</v>
      </c>
      <c r="B2" s="384"/>
      <c r="C2" s="384"/>
      <c r="D2" s="384"/>
      <c r="E2" s="384"/>
      <c r="F2" s="384"/>
      <c r="G2" s="384"/>
      <c r="H2" s="384"/>
    </row>
    <row r="3" spans="1:31" s="3" customFormat="1" x14ac:dyDescent="0.2">
      <c r="F3" s="355" t="s">
        <v>34</v>
      </c>
      <c r="G3" s="356"/>
      <c r="H3" s="356"/>
      <c r="I3" s="357"/>
      <c r="J3" s="355" t="s">
        <v>35</v>
      </c>
      <c r="K3" s="356"/>
      <c r="L3" s="356"/>
      <c r="M3" s="357"/>
      <c r="N3" s="355" t="s">
        <v>36</v>
      </c>
      <c r="O3" s="356"/>
      <c r="P3" s="356"/>
      <c r="Q3" s="357"/>
      <c r="R3" s="355" t="s">
        <v>37</v>
      </c>
      <c r="S3" s="356"/>
      <c r="T3" s="356"/>
      <c r="U3" s="357"/>
      <c r="V3" s="355" t="s">
        <v>38</v>
      </c>
      <c r="W3" s="356"/>
      <c r="X3" s="356"/>
      <c r="Y3" s="357"/>
    </row>
    <row r="4" spans="1:31" s="3" customFormat="1" ht="15" x14ac:dyDescent="0.25">
      <c r="F4" s="7" t="str">
        <f>'Параметры Доходы'!F4</f>
        <v>1 кв.</v>
      </c>
      <c r="G4" s="3" t="str">
        <f>'Параметры Доходы'!G4</f>
        <v>2 кв.</v>
      </c>
      <c r="H4" s="3" t="str">
        <f>'Параметры Доходы'!H4</f>
        <v>3 кв.</v>
      </c>
      <c r="I4" s="8" t="str">
        <f>'Параметры Доходы'!I4</f>
        <v>4 кв.</v>
      </c>
      <c r="J4" s="7" t="str">
        <f>'Параметры Доходы'!J4</f>
        <v>5 кв.</v>
      </c>
      <c r="K4" s="3" t="str">
        <f>'Параметры Доходы'!K4</f>
        <v>6 кв.</v>
      </c>
      <c r="L4" s="3" t="str">
        <f>'Параметры Доходы'!L4</f>
        <v>7 кв.</v>
      </c>
      <c r="M4" s="8" t="str">
        <f>'Параметры Доходы'!M4</f>
        <v>8 кв.</v>
      </c>
      <c r="N4" s="7" t="str">
        <f>'Параметры Доходы'!N4</f>
        <v>9 кв.</v>
      </c>
      <c r="O4" s="3" t="str">
        <f>'Параметры Доходы'!O4</f>
        <v>10 кв.</v>
      </c>
      <c r="P4" s="3" t="str">
        <f>'Параметры Доходы'!P4</f>
        <v>11 кв.</v>
      </c>
      <c r="Q4" s="8" t="str">
        <f>'Параметры Доходы'!Q4</f>
        <v>12 кв.</v>
      </c>
      <c r="R4" s="7" t="str">
        <f>'Параметры Доходы'!R4</f>
        <v>13 кв.</v>
      </c>
      <c r="S4" s="3" t="str">
        <f>'Параметры Доходы'!S4</f>
        <v>14 кв.</v>
      </c>
      <c r="T4" s="3" t="str">
        <f>'Параметры Доходы'!T4</f>
        <v>15 кв.</v>
      </c>
      <c r="U4" s="8" t="str">
        <f>'Параметры Доходы'!U4</f>
        <v>16 кв.</v>
      </c>
      <c r="V4" s="7" t="str">
        <f>'Параметры Доходы'!V4</f>
        <v>17 кв.</v>
      </c>
      <c r="W4" s="3" t="str">
        <f>'Параметры Доходы'!W4</f>
        <v>18 кв.</v>
      </c>
      <c r="X4" s="3" t="str">
        <f>'Параметры Доходы'!X4</f>
        <v>19 кв.</v>
      </c>
      <c r="Y4" s="8" t="str">
        <f>'Параметры Доходы'!Y4</f>
        <v>20 кв.</v>
      </c>
      <c r="Z4" s="9" t="str">
        <f>'Параметры Доходы'!Z4</f>
        <v>Итого</v>
      </c>
    </row>
    <row r="5" spans="1:31" s="3" customFormat="1" ht="15" x14ac:dyDescent="0.25">
      <c r="A5" s="3" t="s">
        <v>163</v>
      </c>
      <c r="F5" s="11">
        <f>'Параметры Доходы'!F8</f>
        <v>0</v>
      </c>
      <c r="G5" s="10">
        <f>'Параметры Доходы'!G8</f>
        <v>39852000</v>
      </c>
      <c r="H5" s="10">
        <f>'Параметры Доходы'!H8</f>
        <v>46494000</v>
      </c>
      <c r="I5" s="12">
        <f>'Параметры Доходы'!I8</f>
        <v>53136000</v>
      </c>
      <c r="J5" s="11">
        <f>'Параметры Доходы'!J8</f>
        <v>59778000</v>
      </c>
      <c r="K5" s="10">
        <f>'Параметры Доходы'!K8</f>
        <v>66420000</v>
      </c>
      <c r="L5" s="10">
        <f>'Параметры Доходы'!L8</f>
        <v>66420000</v>
      </c>
      <c r="M5" s="12">
        <f>'Параметры Доходы'!M8</f>
        <v>66420000</v>
      </c>
      <c r="N5" s="11">
        <f>'Параметры Доходы'!N8</f>
        <v>66420000</v>
      </c>
      <c r="O5" s="10">
        <f>'Параметры Доходы'!O8</f>
        <v>66420000</v>
      </c>
      <c r="P5" s="10">
        <f>'Параметры Доходы'!P8</f>
        <v>66420000</v>
      </c>
      <c r="Q5" s="12">
        <f>'Параметры Доходы'!Q8</f>
        <v>66420000</v>
      </c>
      <c r="R5" s="11">
        <f>'Параметры Доходы'!R8</f>
        <v>66420000</v>
      </c>
      <c r="S5" s="10">
        <f>'Параметры Доходы'!S8</f>
        <v>66420000</v>
      </c>
      <c r="T5" s="10">
        <f>'Параметры Доходы'!T8</f>
        <v>66420000</v>
      </c>
      <c r="U5" s="12">
        <f>'Параметры Доходы'!U8</f>
        <v>66420000</v>
      </c>
      <c r="V5" s="11">
        <f>'Параметры Доходы'!V8</f>
        <v>66420000</v>
      </c>
      <c r="W5" s="10">
        <f>'Параметры Доходы'!W8</f>
        <v>66420000</v>
      </c>
      <c r="X5" s="10">
        <f>'Параметры Доходы'!X8</f>
        <v>66420000</v>
      </c>
      <c r="Y5" s="12">
        <f>'Параметры Доходы'!Y8</f>
        <v>66420000</v>
      </c>
      <c r="Z5" s="13">
        <f>SUM(F5:Y5)</f>
        <v>1195560000</v>
      </c>
      <c r="AB5" s="10">
        <f>SUM(V5:Y5)</f>
        <v>265680000</v>
      </c>
      <c r="AD5" s="3" t="s">
        <v>163</v>
      </c>
      <c r="AE5" s="10">
        <f>AB5</f>
        <v>265680000</v>
      </c>
    </row>
    <row r="6" spans="1:31" s="3" customFormat="1" ht="15" x14ac:dyDescent="0.25">
      <c r="A6" s="3" t="s">
        <v>43</v>
      </c>
      <c r="F6" s="11">
        <f>'Параметры Расходы'!F9</f>
        <v>0</v>
      </c>
      <c r="G6" s="10">
        <f>'Параметры Расходы'!G9</f>
        <v>19523494.800000001</v>
      </c>
      <c r="H6" s="10">
        <f>'Параметры Расходы'!H9</f>
        <v>22777410.600000001</v>
      </c>
      <c r="I6" s="12">
        <f>'Параметры Расходы'!I9</f>
        <v>26031326.399999999</v>
      </c>
      <c r="J6" s="11">
        <f>'Параметры Расходы'!J9</f>
        <v>29285242.199999999</v>
      </c>
      <c r="K6" s="10">
        <f>'Параметры Расходы'!K9</f>
        <v>32539158</v>
      </c>
      <c r="L6" s="10">
        <f>'Параметры Расходы'!L9</f>
        <v>32539158</v>
      </c>
      <c r="M6" s="12">
        <f>'Параметры Расходы'!M9</f>
        <v>32539158</v>
      </c>
      <c r="N6" s="11">
        <f>'Параметры Расходы'!N9</f>
        <v>32539158</v>
      </c>
      <c r="O6" s="10">
        <f>'Параметры Расходы'!O9</f>
        <v>32539158</v>
      </c>
      <c r="P6" s="10">
        <f>'Параметры Расходы'!P9</f>
        <v>32539158</v>
      </c>
      <c r="Q6" s="12">
        <f>'Параметры Расходы'!Q9</f>
        <v>32539158</v>
      </c>
      <c r="R6" s="11">
        <f>'Параметры Расходы'!R9</f>
        <v>32539158</v>
      </c>
      <c r="S6" s="10">
        <f>'Параметры Расходы'!S9</f>
        <v>32539158</v>
      </c>
      <c r="T6" s="10">
        <f>'Параметры Расходы'!T9</f>
        <v>32539158</v>
      </c>
      <c r="U6" s="12">
        <f>'Параметры Расходы'!U9</f>
        <v>32539158</v>
      </c>
      <c r="V6" s="11">
        <f>'Параметры Расходы'!V9</f>
        <v>32539158</v>
      </c>
      <c r="W6" s="10">
        <f>'Параметры Расходы'!W9</f>
        <v>32539158</v>
      </c>
      <c r="X6" s="10">
        <f>'Параметры Расходы'!X9</f>
        <v>32539158</v>
      </c>
      <c r="Y6" s="12">
        <f>'Параметры Расходы'!Y9</f>
        <v>32539158</v>
      </c>
      <c r="Z6" s="13">
        <f t="shared" ref="Z6:Z18" si="0">SUM(F6:Y6)</f>
        <v>585704844</v>
      </c>
      <c r="AB6" s="10">
        <f t="shared" ref="AB6:AB17" si="1">SUM(V6:Y6)</f>
        <v>130156632</v>
      </c>
      <c r="AD6" s="3" t="str">
        <f>A9</f>
        <v>EBITDA</v>
      </c>
      <c r="AE6" s="10">
        <f>AB9</f>
        <v>51511258.085400015</v>
      </c>
    </row>
    <row r="7" spans="1:31" s="70" customFormat="1" x14ac:dyDescent="0.2">
      <c r="A7" s="69" t="s">
        <v>171</v>
      </c>
      <c r="F7" s="71">
        <f>F5-F6</f>
        <v>0</v>
      </c>
      <c r="G7" s="72">
        <f t="shared" ref="G7:Y7" si="2">G5-G6</f>
        <v>20328505.199999999</v>
      </c>
      <c r="H7" s="72">
        <f t="shared" si="2"/>
        <v>23716589.399999999</v>
      </c>
      <c r="I7" s="73">
        <f t="shared" si="2"/>
        <v>27104673.600000001</v>
      </c>
      <c r="J7" s="71">
        <f t="shared" si="2"/>
        <v>30492757.800000001</v>
      </c>
      <c r="K7" s="72">
        <f t="shared" si="2"/>
        <v>33880842</v>
      </c>
      <c r="L7" s="72">
        <f t="shared" si="2"/>
        <v>33880842</v>
      </c>
      <c r="M7" s="73">
        <f t="shared" si="2"/>
        <v>33880842</v>
      </c>
      <c r="N7" s="71">
        <f t="shared" si="2"/>
        <v>33880842</v>
      </c>
      <c r="O7" s="72">
        <f t="shared" si="2"/>
        <v>33880842</v>
      </c>
      <c r="P7" s="72">
        <f t="shared" si="2"/>
        <v>33880842</v>
      </c>
      <c r="Q7" s="73">
        <f t="shared" si="2"/>
        <v>33880842</v>
      </c>
      <c r="R7" s="71">
        <f t="shared" si="2"/>
        <v>33880842</v>
      </c>
      <c r="S7" s="72">
        <f t="shared" si="2"/>
        <v>33880842</v>
      </c>
      <c r="T7" s="72">
        <f t="shared" si="2"/>
        <v>33880842</v>
      </c>
      <c r="U7" s="73">
        <f t="shared" si="2"/>
        <v>33880842</v>
      </c>
      <c r="V7" s="71">
        <f t="shared" si="2"/>
        <v>33880842</v>
      </c>
      <c r="W7" s="72">
        <f t="shared" si="2"/>
        <v>33880842</v>
      </c>
      <c r="X7" s="72">
        <f t="shared" si="2"/>
        <v>33880842</v>
      </c>
      <c r="Y7" s="73">
        <f t="shared" si="2"/>
        <v>33880842</v>
      </c>
      <c r="Z7" s="74">
        <f t="shared" si="0"/>
        <v>609855156</v>
      </c>
      <c r="AB7" s="72">
        <f t="shared" si="1"/>
        <v>135523368</v>
      </c>
      <c r="AD7" s="3" t="s">
        <v>132</v>
      </c>
      <c r="AE7" s="10">
        <f>AB6+AB8+AB11+AB15+AB17</f>
        <v>234103063.81364</v>
      </c>
    </row>
    <row r="8" spans="1:31" s="3" customFormat="1" ht="15" x14ac:dyDescent="0.25">
      <c r="A8" s="3" t="s">
        <v>65</v>
      </c>
      <c r="F8" s="11">
        <f>'Параметры Расходы'!F26</f>
        <v>5980028.6571156234</v>
      </c>
      <c r="G8" s="10">
        <f>'Параметры Расходы'!G26</f>
        <v>19406532.984343752</v>
      </c>
      <c r="H8" s="10">
        <f>'Параметры Расходы'!H26</f>
        <v>21003027.478649996</v>
      </c>
      <c r="I8" s="12">
        <f>'Параметры Расходы'!I26</f>
        <v>21003027.478649996</v>
      </c>
      <c r="J8" s="11">
        <f>'Параметры Расходы'!J26</f>
        <v>21003027.478649996</v>
      </c>
      <c r="K8" s="10">
        <f>'Параметры Расходы'!K26</f>
        <v>21003027.478649996</v>
      </c>
      <c r="L8" s="10">
        <f>'Параметры Расходы'!L26</f>
        <v>21003027.478649996</v>
      </c>
      <c r="M8" s="12">
        <f>'Параметры Расходы'!M26</f>
        <v>21003027.478649996</v>
      </c>
      <c r="N8" s="11">
        <f>'Параметры Расходы'!N26</f>
        <v>21003027.478649996</v>
      </c>
      <c r="O8" s="10">
        <f>'Параметры Расходы'!O26</f>
        <v>21003027.478649996</v>
      </c>
      <c r="P8" s="10">
        <f>'Параметры Расходы'!P26</f>
        <v>21003027.478649996</v>
      </c>
      <c r="Q8" s="12">
        <f>'Параметры Расходы'!Q26</f>
        <v>21003027.478649996</v>
      </c>
      <c r="R8" s="11">
        <f>'Параметры Расходы'!R26</f>
        <v>21003027.478649996</v>
      </c>
      <c r="S8" s="10">
        <f>'Параметры Расходы'!S26</f>
        <v>21003027.478649996</v>
      </c>
      <c r="T8" s="10">
        <f>'Параметры Расходы'!T26</f>
        <v>21003027.478649996</v>
      </c>
      <c r="U8" s="12">
        <f>'Параметры Расходы'!U26</f>
        <v>21003027.478649996</v>
      </c>
      <c r="V8" s="11">
        <f>'Параметры Расходы'!V26</f>
        <v>21003027.478649996</v>
      </c>
      <c r="W8" s="10">
        <f>'Параметры Расходы'!W26</f>
        <v>21003027.478649996</v>
      </c>
      <c r="X8" s="10">
        <f>'Параметры Расходы'!X26</f>
        <v>21003027.478649996</v>
      </c>
      <c r="Y8" s="12">
        <f>'Параметры Расходы'!Y26</f>
        <v>21003027.478649996</v>
      </c>
      <c r="Z8" s="13">
        <f t="shared" si="0"/>
        <v>403441056.25715923</v>
      </c>
      <c r="AB8" s="10">
        <f t="shared" si="1"/>
        <v>84012109.914599985</v>
      </c>
      <c r="AD8" s="3" t="s">
        <v>178</v>
      </c>
      <c r="AE8" s="10">
        <f>AB18</f>
        <v>31576936.186360013</v>
      </c>
    </row>
    <row r="9" spans="1:31" s="70" customFormat="1" ht="12" x14ac:dyDescent="0.2">
      <c r="A9" s="69" t="s">
        <v>172</v>
      </c>
      <c r="F9" s="71">
        <f>F7-F8</f>
        <v>-5980028.6571156234</v>
      </c>
      <c r="G9" s="72">
        <f t="shared" ref="G9:Y9" si="3">G7-G8</f>
        <v>921972.21565624699</v>
      </c>
      <c r="H9" s="72">
        <f t="shared" si="3"/>
        <v>2713561.9213500023</v>
      </c>
      <c r="I9" s="73">
        <f t="shared" si="3"/>
        <v>6101646.1213500053</v>
      </c>
      <c r="J9" s="71">
        <f t="shared" si="3"/>
        <v>9489730.3213500045</v>
      </c>
      <c r="K9" s="72">
        <f t="shared" si="3"/>
        <v>12877814.521350004</v>
      </c>
      <c r="L9" s="72">
        <f t="shared" si="3"/>
        <v>12877814.521350004</v>
      </c>
      <c r="M9" s="73">
        <f t="shared" si="3"/>
        <v>12877814.521350004</v>
      </c>
      <c r="N9" s="71">
        <f t="shared" si="3"/>
        <v>12877814.521350004</v>
      </c>
      <c r="O9" s="72">
        <f t="shared" si="3"/>
        <v>12877814.521350004</v>
      </c>
      <c r="P9" s="72">
        <f t="shared" si="3"/>
        <v>12877814.521350004</v>
      </c>
      <c r="Q9" s="73">
        <f t="shared" si="3"/>
        <v>12877814.521350004</v>
      </c>
      <c r="R9" s="71">
        <f t="shared" si="3"/>
        <v>12877814.521350004</v>
      </c>
      <c r="S9" s="72">
        <f t="shared" si="3"/>
        <v>12877814.521350004</v>
      </c>
      <c r="T9" s="72">
        <f t="shared" si="3"/>
        <v>12877814.521350004</v>
      </c>
      <c r="U9" s="73">
        <f t="shared" si="3"/>
        <v>12877814.521350004</v>
      </c>
      <c r="V9" s="71">
        <f t="shared" si="3"/>
        <v>12877814.521350004</v>
      </c>
      <c r="W9" s="72">
        <f t="shared" si="3"/>
        <v>12877814.521350004</v>
      </c>
      <c r="X9" s="72">
        <f t="shared" si="3"/>
        <v>12877814.521350004</v>
      </c>
      <c r="Y9" s="73">
        <f t="shared" si="3"/>
        <v>12877814.521350004</v>
      </c>
      <c r="Z9" s="74">
        <f t="shared" si="0"/>
        <v>206414099.74284062</v>
      </c>
      <c r="AB9" s="72">
        <f t="shared" si="1"/>
        <v>51511258.085400015</v>
      </c>
    </row>
    <row r="10" spans="1:31" s="3" customFormat="1" ht="15" x14ac:dyDescent="0.25">
      <c r="A10" s="3" t="s">
        <v>173</v>
      </c>
      <c r="F10" s="11">
        <f>'Параметры финансирование'!C81</f>
        <v>0</v>
      </c>
      <c r="G10" s="10">
        <f>'Параметры финансирование'!D81</f>
        <v>0</v>
      </c>
      <c r="H10" s="10">
        <f>'Параметры финансирование'!E81</f>
        <v>0</v>
      </c>
      <c r="I10" s="12">
        <f>'Параметры финансирование'!F81</f>
        <v>0</v>
      </c>
      <c r="J10" s="11">
        <f>'Параметры финансирование'!G81</f>
        <v>0</v>
      </c>
      <c r="K10" s="10">
        <f>'Параметры финансирование'!H81</f>
        <v>0</v>
      </c>
      <c r="L10" s="10">
        <f>'Параметры финансирование'!I81</f>
        <v>0</v>
      </c>
      <c r="M10" s="12">
        <f>'Параметры финансирование'!J81</f>
        <v>0</v>
      </c>
      <c r="N10" s="11">
        <f>'Параметры финансирование'!K81</f>
        <v>0</v>
      </c>
      <c r="O10" s="10">
        <f>'Параметры финансирование'!L81</f>
        <v>0</v>
      </c>
      <c r="P10" s="10">
        <f>'Параметры финансирование'!M81</f>
        <v>0</v>
      </c>
      <c r="Q10" s="12">
        <f>'Параметры финансирование'!N81</f>
        <v>0</v>
      </c>
      <c r="R10" s="11">
        <f>'Параметры финансирование'!O81</f>
        <v>0</v>
      </c>
      <c r="S10" s="10">
        <f>'Параметры финансирование'!P81</f>
        <v>0</v>
      </c>
      <c r="T10" s="10">
        <f>'Параметры финансирование'!Q81</f>
        <v>0</v>
      </c>
      <c r="U10" s="12">
        <f>'Параметры финансирование'!R81</f>
        <v>0</v>
      </c>
      <c r="V10" s="11">
        <f>'Параметры финансирование'!S81</f>
        <v>0</v>
      </c>
      <c r="W10" s="10">
        <f>'Параметры финансирование'!T81</f>
        <v>0</v>
      </c>
      <c r="X10" s="10">
        <f>'Параметры финансирование'!U81</f>
        <v>0</v>
      </c>
      <c r="Y10" s="12">
        <f>'Параметры финансирование'!V81</f>
        <v>0</v>
      </c>
      <c r="Z10" s="13">
        <f t="shared" si="0"/>
        <v>0</v>
      </c>
      <c r="AB10" s="10">
        <f>SUM(V10:Y10)</f>
        <v>0</v>
      </c>
    </row>
    <row r="11" spans="1:31" s="3" customFormat="1" ht="15" x14ac:dyDescent="0.25">
      <c r="A11" s="3" t="s">
        <v>133</v>
      </c>
      <c r="F11" s="11">
        <f>SUM(F12:F14)</f>
        <v>-836381.37885260396</v>
      </c>
      <c r="G11" s="10">
        <f t="shared" ref="G11:X11" si="4">SUM(G12:G14)</f>
        <v>231164.60421770721</v>
      </c>
      <c r="H11" s="10">
        <f t="shared" si="4"/>
        <v>611100.56277499942</v>
      </c>
      <c r="I11" s="12">
        <f t="shared" si="4"/>
        <v>1162663.2020500004</v>
      </c>
      <c r="J11" s="11">
        <f t="shared" si="4"/>
        <v>1714225.8413250009</v>
      </c>
      <c r="K11" s="10">
        <f t="shared" si="4"/>
        <v>2265788.4805999999</v>
      </c>
      <c r="L11" s="10">
        <f t="shared" si="4"/>
        <v>2252670.4198750001</v>
      </c>
      <c r="M11" s="12">
        <f t="shared" si="4"/>
        <v>2239552.3591499999</v>
      </c>
      <c r="N11" s="11">
        <f t="shared" si="4"/>
        <v>2226434.2984250002</v>
      </c>
      <c r="O11" s="10">
        <f t="shared" si="4"/>
        <v>2213316.2376999999</v>
      </c>
      <c r="P11" s="10">
        <f t="shared" si="4"/>
        <v>2200198.1769750002</v>
      </c>
      <c r="Q11" s="12">
        <f t="shared" si="4"/>
        <v>2195305.105</v>
      </c>
      <c r="R11" s="11">
        <f t="shared" si="4"/>
        <v>2190658.029325</v>
      </c>
      <c r="S11" s="10">
        <f t="shared" si="4"/>
        <v>2186010.95365</v>
      </c>
      <c r="T11" s="10">
        <f t="shared" si="4"/>
        <v>2181363.8779750001</v>
      </c>
      <c r="U11" s="12">
        <f t="shared" si="4"/>
        <v>2176716.8023000001</v>
      </c>
      <c r="V11" s="11">
        <f t="shared" si="4"/>
        <v>2172069.7266250001</v>
      </c>
      <c r="W11" s="10">
        <f t="shared" si="4"/>
        <v>2167422.6509500002</v>
      </c>
      <c r="X11" s="10">
        <f t="shared" si="4"/>
        <v>2162775.5752750002</v>
      </c>
      <c r="Y11" s="12">
        <f>SUM(Y12:Y14)</f>
        <v>2158128.4996000002</v>
      </c>
      <c r="Z11" s="13">
        <f t="shared" si="0"/>
        <v>35871184.024940103</v>
      </c>
      <c r="AB11" s="10">
        <f>SUM(V11:Y11)</f>
        <v>8660396.4524500016</v>
      </c>
    </row>
    <row r="12" spans="1:31" s="70" customFormat="1" ht="12" x14ac:dyDescent="0.2">
      <c r="A12" s="69" t="s">
        <v>152</v>
      </c>
      <c r="F12" s="71">
        <f>'Параметы Налоги'!F29</f>
        <v>-996671.44285260397</v>
      </c>
      <c r="G12" s="72">
        <f>'Параметы Налоги'!G29</f>
        <v>153662.03594270721</v>
      </c>
      <c r="H12" s="72">
        <f>'Параметы Налоги'!H29</f>
        <v>452260.32022499945</v>
      </c>
      <c r="I12" s="73">
        <f>'Параметы Налоги'!I29</f>
        <v>1016941.0202250006</v>
      </c>
      <c r="J12" s="71">
        <f>'Параметы Налоги'!J29</f>
        <v>1581621.7202250008</v>
      </c>
      <c r="K12" s="72">
        <f>'Параметы Налоги'!K29</f>
        <v>2146302.420225</v>
      </c>
      <c r="L12" s="72">
        <f>'Параметы Налоги'!L29</f>
        <v>2146302.420225</v>
      </c>
      <c r="M12" s="73">
        <f>'Параметы Налоги'!M29</f>
        <v>2146302.420225</v>
      </c>
      <c r="N12" s="71">
        <f>'Параметы Налоги'!N29</f>
        <v>2146302.420225</v>
      </c>
      <c r="O12" s="72">
        <f>'Параметы Налоги'!O29</f>
        <v>2146302.420225</v>
      </c>
      <c r="P12" s="72">
        <f>'Параметы Налоги'!P29</f>
        <v>2146302.420225</v>
      </c>
      <c r="Q12" s="73">
        <f>'Параметы Налоги'!Q29</f>
        <v>2146302.420225</v>
      </c>
      <c r="R12" s="71">
        <f>'Параметы Налоги'!R29</f>
        <v>2146302.420225</v>
      </c>
      <c r="S12" s="72">
        <f>'Параметы Налоги'!S29</f>
        <v>2146302.420225</v>
      </c>
      <c r="T12" s="72">
        <f>'Параметы Налоги'!T29</f>
        <v>2146302.420225</v>
      </c>
      <c r="U12" s="73">
        <f>'Параметы Налоги'!U29</f>
        <v>2146302.420225</v>
      </c>
      <c r="V12" s="71">
        <f>'Параметы Налоги'!V29</f>
        <v>2146302.420225</v>
      </c>
      <c r="W12" s="72">
        <f>'Параметы Налоги'!W29</f>
        <v>2146302.420225</v>
      </c>
      <c r="X12" s="72">
        <f>'Параметы Налоги'!X29</f>
        <v>2146302.420225</v>
      </c>
      <c r="Y12" s="73">
        <f>'Параметы Налоги'!Y29</f>
        <v>2146302.420225</v>
      </c>
      <c r="Z12" s="74">
        <f t="shared" si="0"/>
        <v>34402349.957140118</v>
      </c>
      <c r="AB12" s="72">
        <f t="shared" si="1"/>
        <v>8585209.6809</v>
      </c>
    </row>
    <row r="13" spans="1:31" s="70" customFormat="1" ht="12" x14ac:dyDescent="0.2">
      <c r="A13" s="69" t="s">
        <v>151</v>
      </c>
      <c r="F13" s="71">
        <f>'Параметы Налоги'!F33</f>
        <v>160290.06399999998</v>
      </c>
      <c r="G13" s="72">
        <f>'Параметы Налоги'!G33</f>
        <v>77502.568274999998</v>
      </c>
      <c r="H13" s="72">
        <f>'Параметы Налоги'!H33</f>
        <v>158840.24255</v>
      </c>
      <c r="I13" s="73">
        <f>'Параметы Налоги'!I33</f>
        <v>145722.18182499998</v>
      </c>
      <c r="J13" s="71">
        <f>'Параметы Налоги'!J33</f>
        <v>132604.12110000002</v>
      </c>
      <c r="K13" s="72">
        <f>'Параметы Налоги'!K33</f>
        <v>119486.06037499999</v>
      </c>
      <c r="L13" s="72">
        <f>'Параметы Налоги'!L33</f>
        <v>106367.99964999998</v>
      </c>
      <c r="M13" s="73">
        <f>'Параметы Налоги'!M33</f>
        <v>93249.938925000009</v>
      </c>
      <c r="N13" s="71">
        <f>'Параметы Налоги'!N33</f>
        <v>80131.878199999992</v>
      </c>
      <c r="O13" s="72">
        <f>'Параметы Налоги'!O33</f>
        <v>67013.817474999989</v>
      </c>
      <c r="P13" s="72">
        <f>'Параметы Налоги'!P33</f>
        <v>53895.75675</v>
      </c>
      <c r="Q13" s="73">
        <f>'Параметы Налоги'!Q33</f>
        <v>49002.684775000002</v>
      </c>
      <c r="R13" s="71">
        <f>'Параметы Налоги'!R33</f>
        <v>44355.609100000001</v>
      </c>
      <c r="S13" s="72">
        <f>'Параметы Налоги'!S33</f>
        <v>39708.533425000001</v>
      </c>
      <c r="T13" s="72">
        <f>'Параметы Налоги'!T33</f>
        <v>35061.457750000001</v>
      </c>
      <c r="U13" s="73">
        <f>'Параметы Налоги'!U33</f>
        <v>30414.382075000001</v>
      </c>
      <c r="V13" s="71">
        <f>'Параметы Налоги'!V33</f>
        <v>25767.306400000001</v>
      </c>
      <c r="W13" s="72">
        <f>'Параметы Налоги'!W33</f>
        <v>21120.230724999998</v>
      </c>
      <c r="X13" s="72">
        <f>'Параметы Налоги'!X33</f>
        <v>16473.155050000001</v>
      </c>
      <c r="Y13" s="73">
        <f>'Параметы Налоги'!Y33</f>
        <v>11826.079374999999</v>
      </c>
      <c r="Z13" s="74">
        <f t="shared" si="0"/>
        <v>1468834.0677999996</v>
      </c>
      <c r="AB13" s="72">
        <f t="shared" si="1"/>
        <v>75186.771550000005</v>
      </c>
    </row>
    <row r="14" spans="1:31" s="70" customFormat="1" ht="12" x14ac:dyDescent="0.2">
      <c r="A14" s="69" t="s">
        <v>153</v>
      </c>
      <c r="F14" s="71">
        <f>'Параметы Налоги'!F37</f>
        <v>0</v>
      </c>
      <c r="G14" s="72">
        <f>'Параметы Налоги'!G37</f>
        <v>0</v>
      </c>
      <c r="H14" s="72">
        <f>'Параметы Налоги'!H37</f>
        <v>0</v>
      </c>
      <c r="I14" s="73">
        <f>'Параметы Налоги'!I37</f>
        <v>0</v>
      </c>
      <c r="J14" s="71">
        <f>'Параметы Налоги'!J37</f>
        <v>0</v>
      </c>
      <c r="K14" s="72">
        <f>'Параметы Налоги'!K37</f>
        <v>0</v>
      </c>
      <c r="L14" s="72">
        <f>'Параметы Налоги'!L37</f>
        <v>0</v>
      </c>
      <c r="M14" s="73">
        <f>'Параметы Налоги'!M37</f>
        <v>0</v>
      </c>
      <c r="N14" s="71">
        <f>'Параметы Налоги'!N37</f>
        <v>0</v>
      </c>
      <c r="O14" s="72">
        <f>'Параметы Налоги'!O37</f>
        <v>0</v>
      </c>
      <c r="P14" s="72">
        <f>'Параметы Налоги'!P37</f>
        <v>0</v>
      </c>
      <c r="Q14" s="73">
        <f>'Параметы Налоги'!Q37</f>
        <v>0</v>
      </c>
      <c r="R14" s="71">
        <f>'Параметы Налоги'!R37</f>
        <v>0</v>
      </c>
      <c r="S14" s="72">
        <f>'Параметы Налоги'!S37</f>
        <v>0</v>
      </c>
      <c r="T14" s="72">
        <f>'Параметы Налоги'!T37</f>
        <v>0</v>
      </c>
      <c r="U14" s="73">
        <f>'Параметы Налоги'!U37</f>
        <v>0</v>
      </c>
      <c r="V14" s="71">
        <f>'Параметы Налоги'!V37</f>
        <v>0</v>
      </c>
      <c r="W14" s="72">
        <f>'Параметы Налоги'!W37</f>
        <v>0</v>
      </c>
      <c r="X14" s="72">
        <f>'Параметы Налоги'!X37</f>
        <v>0</v>
      </c>
      <c r="Y14" s="73">
        <f>'Параметы Налоги'!Y37</f>
        <v>0</v>
      </c>
      <c r="Z14" s="74">
        <f t="shared" si="0"/>
        <v>0</v>
      </c>
      <c r="AB14" s="72">
        <f t="shared" si="1"/>
        <v>0</v>
      </c>
    </row>
    <row r="15" spans="1:31" s="3" customFormat="1" ht="15" x14ac:dyDescent="0.25">
      <c r="A15" s="3" t="s">
        <v>174</v>
      </c>
      <c r="F15" s="11">
        <f>Амортизация!F20</f>
        <v>2227271.9500000002</v>
      </c>
      <c r="G15" s="10">
        <f>Амортизация!G20</f>
        <v>1552271.9500000002</v>
      </c>
      <c r="H15" s="10">
        <f>Амортизация!H20</f>
        <v>2385101.9500000002</v>
      </c>
      <c r="I15" s="12">
        <f>Амортизация!I20</f>
        <v>2385101.9500000002</v>
      </c>
      <c r="J15" s="11">
        <f>Амортизация!J20</f>
        <v>2385101.9500000002</v>
      </c>
      <c r="K15" s="10">
        <f>Амортизация!K20</f>
        <v>2385101.9500000002</v>
      </c>
      <c r="L15" s="10">
        <f>Амортизация!L20</f>
        <v>2385101.9500000002</v>
      </c>
      <c r="M15" s="12">
        <f>Амортизация!M20</f>
        <v>2385101.9500000002</v>
      </c>
      <c r="N15" s="11">
        <f>Амортизация!N20</f>
        <v>2385101.9500000002</v>
      </c>
      <c r="O15" s="10">
        <f>Амортизация!O20</f>
        <v>2385101.9500000002</v>
      </c>
      <c r="P15" s="10">
        <f>Амортизация!P20</f>
        <v>889649.45</v>
      </c>
      <c r="Q15" s="12">
        <f>Амортизация!Q20</f>
        <v>844922.85</v>
      </c>
      <c r="R15" s="11">
        <f>Амортизация!R20</f>
        <v>844922.85</v>
      </c>
      <c r="S15" s="10">
        <f>Амортизация!S20</f>
        <v>844922.85</v>
      </c>
      <c r="T15" s="10">
        <f>Амортизация!T20</f>
        <v>844922.85</v>
      </c>
      <c r="U15" s="12">
        <f>Амортизация!U20</f>
        <v>844922.85</v>
      </c>
      <c r="V15" s="11">
        <f>Амортизация!V20</f>
        <v>844922.85</v>
      </c>
      <c r="W15" s="10">
        <f>Амортизация!W20</f>
        <v>844922.85</v>
      </c>
      <c r="X15" s="10">
        <f>Амортизация!X20</f>
        <v>844922.85</v>
      </c>
      <c r="Y15" s="12">
        <f>Амортизация!Y20</f>
        <v>844922.85</v>
      </c>
      <c r="Z15" s="13">
        <f t="shared" si="0"/>
        <v>31354314.600000009</v>
      </c>
      <c r="AB15" s="10">
        <f t="shared" si="1"/>
        <v>3379691.4</v>
      </c>
    </row>
    <row r="16" spans="1:31" s="3" customFormat="1" ht="15" x14ac:dyDescent="0.25">
      <c r="A16" s="3" t="s">
        <v>175</v>
      </c>
      <c r="F16" s="11">
        <f>F9-F10-F12-F13-F14-F15</f>
        <v>-7370919.2282630196</v>
      </c>
      <c r="G16" s="10">
        <f t="shared" ref="G16:Y16" si="5">G9-G10-G12-G13-G14-G15</f>
        <v>-861464.33856146038</v>
      </c>
      <c r="H16" s="10">
        <f t="shared" si="5"/>
        <v>-282640.59142499743</v>
      </c>
      <c r="I16" s="12">
        <f t="shared" si="5"/>
        <v>2553880.9693000047</v>
      </c>
      <c r="J16" s="11">
        <f t="shared" si="5"/>
        <v>5390402.5300250035</v>
      </c>
      <c r="K16" s="10">
        <f t="shared" si="5"/>
        <v>8226924.0907500042</v>
      </c>
      <c r="L16" s="10">
        <f t="shared" si="5"/>
        <v>8240042.1514750039</v>
      </c>
      <c r="M16" s="12">
        <f t="shared" si="5"/>
        <v>8253160.2122000037</v>
      </c>
      <c r="N16" s="11">
        <f t="shared" si="5"/>
        <v>8266278.2729250034</v>
      </c>
      <c r="O16" s="10">
        <f t="shared" si="5"/>
        <v>8279396.3336500032</v>
      </c>
      <c r="P16" s="10">
        <f t="shared" si="5"/>
        <v>9787966.8943750039</v>
      </c>
      <c r="Q16" s="12">
        <f t="shared" si="5"/>
        <v>9837586.5663500037</v>
      </c>
      <c r="R16" s="11">
        <f t="shared" si="5"/>
        <v>9842233.6420250032</v>
      </c>
      <c r="S16" s="10">
        <f t="shared" si="5"/>
        <v>9846880.7177000046</v>
      </c>
      <c r="T16" s="10">
        <f t="shared" si="5"/>
        <v>9851527.7933750041</v>
      </c>
      <c r="U16" s="12">
        <f t="shared" si="5"/>
        <v>9856174.8690500036</v>
      </c>
      <c r="V16" s="11">
        <f t="shared" si="5"/>
        <v>9860821.944725005</v>
      </c>
      <c r="W16" s="10">
        <f t="shared" si="5"/>
        <v>9865469.0204000045</v>
      </c>
      <c r="X16" s="10">
        <f t="shared" si="5"/>
        <v>9870116.096075004</v>
      </c>
      <c r="Y16" s="12">
        <f t="shared" si="5"/>
        <v>9874763.1717500035</v>
      </c>
      <c r="Z16" s="13">
        <f t="shared" si="0"/>
        <v>139188601.11790058</v>
      </c>
      <c r="AB16" s="10">
        <f t="shared" si="1"/>
        <v>39471170.232950017</v>
      </c>
    </row>
    <row r="17" spans="1:28" s="10" customFormat="1" ht="15" x14ac:dyDescent="0.25">
      <c r="A17" s="10" t="s">
        <v>150</v>
      </c>
      <c r="F17" s="11">
        <f>IF(F16&gt;0,F16*'Параметы Налоги'!$E$18,0)</f>
        <v>0</v>
      </c>
      <c r="G17" s="10">
        <f>IF(G16&gt;0,G16*'Параметы Налоги'!$E$18,0)</f>
        <v>0</v>
      </c>
      <c r="H17" s="10">
        <f>IF(H16&gt;0,H16*'Параметы Налоги'!$E$18,0)</f>
        <v>0</v>
      </c>
      <c r="I17" s="12">
        <f>IF(I16&gt;0,I16*'Параметы Налоги'!$E$18,0)</f>
        <v>510776.19386000093</v>
      </c>
      <c r="J17" s="11">
        <f>IF(J16&gt;0,J16*'Параметы Налоги'!$E$18,0)</f>
        <v>1078080.5060050008</v>
      </c>
      <c r="K17" s="10">
        <f>IF(K16&gt;0,K16*'Параметы Налоги'!$E$18,0)</f>
        <v>1645384.8181500009</v>
      </c>
      <c r="L17" s="10">
        <f>IF(L16&gt;0,L16*'Параметы Налоги'!$E$18,0)</f>
        <v>1648008.4302950008</v>
      </c>
      <c r="M17" s="12">
        <f>IF(M16&gt;0,M16*'Параметы Налоги'!$E$18,0)</f>
        <v>1650632.0424400009</v>
      </c>
      <c r="N17" s="11">
        <f>IF(N16&gt;0,N16*'Параметы Налоги'!$E$18,0)</f>
        <v>1653255.6545850008</v>
      </c>
      <c r="O17" s="10">
        <f>IF(O16&gt;0,O16*'Параметы Налоги'!$E$18,0)</f>
        <v>1655879.2667300007</v>
      </c>
      <c r="P17" s="10">
        <f>IF(P16&gt;0,P16*'Параметы Налоги'!$E$18,0)</f>
        <v>1957593.3788750009</v>
      </c>
      <c r="Q17" s="12">
        <f>IF(Q16&gt;0,Q16*'Параметы Налоги'!$E$18,0)</f>
        <v>1967517.3132700007</v>
      </c>
      <c r="R17" s="11">
        <f>IF(R16&gt;0,R16*'Параметы Налоги'!$E$18,0)</f>
        <v>1968446.7284050006</v>
      </c>
      <c r="S17" s="10">
        <f>IF(S16&gt;0,S16*'Параметы Налоги'!$E$18,0)</f>
        <v>1969376.143540001</v>
      </c>
      <c r="T17" s="10">
        <f>IF(T16&gt;0,T16*'Параметы Налоги'!$E$18,0)</f>
        <v>1970305.5586750009</v>
      </c>
      <c r="U17" s="12">
        <f>IF(U16&gt;0,U16*'Параметы Налоги'!$E$18,0)</f>
        <v>1971234.9738100008</v>
      </c>
      <c r="V17" s="11">
        <f>IF(V16&gt;0,V16*'Параметы Налоги'!$E$18,0)</f>
        <v>1972164.3889450012</v>
      </c>
      <c r="W17" s="10">
        <f>IF(W16&gt;0,W16*'Параметы Налоги'!$E$18,0)</f>
        <v>1973093.8040800011</v>
      </c>
      <c r="X17" s="10">
        <f>IF(X16&gt;0,X16*'Параметы Налоги'!$E$18,0)</f>
        <v>1974023.219215001</v>
      </c>
      <c r="Y17" s="12">
        <f>IF(Y16&gt;0,Y16*'Параметы Налоги'!$E$18,0)</f>
        <v>1974952.6343500009</v>
      </c>
      <c r="Z17" s="13">
        <f t="shared" si="0"/>
        <v>29540725.055230021</v>
      </c>
      <c r="AB17" s="10">
        <f t="shared" si="1"/>
        <v>7894234.0465900041</v>
      </c>
    </row>
    <row r="18" spans="1:28" s="3" customFormat="1" ht="15" x14ac:dyDescent="0.25">
      <c r="A18" s="9" t="s">
        <v>176</v>
      </c>
      <c r="B18" s="9"/>
      <c r="C18" s="9"/>
      <c r="D18" s="9"/>
      <c r="E18" s="9"/>
      <c r="F18" s="14">
        <f>F16-F17</f>
        <v>-7370919.2282630196</v>
      </c>
      <c r="G18" s="13">
        <f t="shared" ref="G18:Y18" si="6">G16-G17</f>
        <v>-861464.33856146038</v>
      </c>
      <c r="H18" s="13">
        <f t="shared" si="6"/>
        <v>-282640.59142499743</v>
      </c>
      <c r="I18" s="15">
        <f t="shared" si="6"/>
        <v>2043104.7754400037</v>
      </c>
      <c r="J18" s="14">
        <f t="shared" si="6"/>
        <v>4312322.0240200032</v>
      </c>
      <c r="K18" s="13">
        <f t="shared" si="6"/>
        <v>6581539.2726000035</v>
      </c>
      <c r="L18" s="13">
        <f t="shared" si="6"/>
        <v>6592033.7211800031</v>
      </c>
      <c r="M18" s="15">
        <f t="shared" si="6"/>
        <v>6602528.1697600028</v>
      </c>
      <c r="N18" s="14">
        <f t="shared" si="6"/>
        <v>6613022.6183400024</v>
      </c>
      <c r="O18" s="13">
        <f t="shared" si="6"/>
        <v>6623517.0669200029</v>
      </c>
      <c r="P18" s="13">
        <f t="shared" si="6"/>
        <v>7830373.5155000035</v>
      </c>
      <c r="Q18" s="15">
        <f t="shared" si="6"/>
        <v>7870069.253080003</v>
      </c>
      <c r="R18" s="14">
        <f t="shared" si="6"/>
        <v>7873786.9136200026</v>
      </c>
      <c r="S18" s="13">
        <f t="shared" si="6"/>
        <v>7877504.574160004</v>
      </c>
      <c r="T18" s="13">
        <f t="shared" si="6"/>
        <v>7881222.2347000036</v>
      </c>
      <c r="U18" s="15">
        <f t="shared" si="6"/>
        <v>7884939.8952400032</v>
      </c>
      <c r="V18" s="14">
        <f t="shared" si="6"/>
        <v>7888657.5557800038</v>
      </c>
      <c r="W18" s="13">
        <f t="shared" si="6"/>
        <v>7892375.2163200034</v>
      </c>
      <c r="X18" s="13">
        <f t="shared" si="6"/>
        <v>7896092.876860003</v>
      </c>
      <c r="Y18" s="15">
        <f t="shared" si="6"/>
        <v>7899810.5374000026</v>
      </c>
      <c r="Z18" s="13">
        <f t="shared" si="0"/>
        <v>109647876.0626706</v>
      </c>
      <c r="AB18" s="10">
        <f>SUM(V18:Y18)</f>
        <v>31576936.186360013</v>
      </c>
    </row>
    <row r="19" spans="1:28" s="3" customFormat="1" x14ac:dyDescent="0.2">
      <c r="F19" s="377">
        <f>SUM(F18:I18)</f>
        <v>-6471919.3828094732</v>
      </c>
      <c r="G19" s="356"/>
      <c r="H19" s="356"/>
      <c r="I19" s="357"/>
      <c r="J19" s="377">
        <f t="shared" ref="J19" si="7">SUM(J18:M18)</f>
        <v>24088423.187560014</v>
      </c>
      <c r="K19" s="356"/>
      <c r="L19" s="356"/>
      <c r="M19" s="357"/>
      <c r="N19" s="377">
        <f t="shared" ref="N19" si="8">SUM(N18:Q18)</f>
        <v>28936982.45384001</v>
      </c>
      <c r="O19" s="356"/>
      <c r="P19" s="356"/>
      <c r="Q19" s="357"/>
      <c r="R19" s="377">
        <f t="shared" ref="R19" si="9">SUM(R18:U18)</f>
        <v>31517453.617720015</v>
      </c>
      <c r="S19" s="356"/>
      <c r="T19" s="356"/>
      <c r="U19" s="357"/>
      <c r="V19" s="377">
        <f t="shared" ref="V19" si="10">SUM(V18:Y18)</f>
        <v>31576936.186360013</v>
      </c>
      <c r="W19" s="356"/>
      <c r="X19" s="356"/>
      <c r="Y19" s="357"/>
    </row>
    <row r="20" spans="1:28" s="41" customFormat="1" ht="15" thickBot="1" x14ac:dyDescent="0.25"/>
    <row r="21" spans="1:28" ht="15" thickTop="1" x14ac:dyDescent="0.2">
      <c r="H21" s="68"/>
    </row>
    <row r="22" spans="1:28" ht="15" thickBot="1" x14ac:dyDescent="0.25"/>
    <row r="23" spans="1:28" s="36" customFormat="1" ht="27" thickTop="1" x14ac:dyDescent="0.4">
      <c r="A23" s="385" t="s">
        <v>177</v>
      </c>
      <c r="B23" s="385"/>
      <c r="C23" s="385"/>
      <c r="D23" s="385"/>
      <c r="E23" s="385"/>
      <c r="F23" s="385"/>
      <c r="G23" s="385"/>
      <c r="H23" s="385"/>
    </row>
    <row r="24" spans="1:28" s="37" customFormat="1" x14ac:dyDescent="0.2"/>
    <row r="25" spans="1:28" s="37" customFormat="1" x14ac:dyDescent="0.2"/>
    <row r="26" spans="1:28" s="37" customFormat="1" x14ac:dyDescent="0.2"/>
    <row r="27" spans="1:28" s="37" customFormat="1" x14ac:dyDescent="0.2"/>
    <row r="28" spans="1:28" s="37" customFormat="1" x14ac:dyDescent="0.2"/>
    <row r="29" spans="1:28" s="37" customFormat="1" x14ac:dyDescent="0.2"/>
    <row r="30" spans="1:28" s="37" customFormat="1" x14ac:dyDescent="0.2"/>
    <row r="31" spans="1:28" s="37" customFormat="1" x14ac:dyDescent="0.2"/>
    <row r="32" spans="1:28" s="37" customFormat="1" x14ac:dyDescent="0.2"/>
    <row r="33" s="37" customFormat="1" x14ac:dyDescent="0.2"/>
    <row r="34" s="37" customFormat="1" x14ac:dyDescent="0.2"/>
    <row r="35" s="37" customFormat="1" x14ac:dyDescent="0.2"/>
    <row r="36" s="37" customFormat="1" x14ac:dyDescent="0.2"/>
    <row r="37" s="37" customFormat="1" x14ac:dyDescent="0.2"/>
    <row r="38" s="37" customFormat="1" x14ac:dyDescent="0.2"/>
    <row r="39" s="37" customFormat="1" x14ac:dyDescent="0.2"/>
    <row r="40" s="37" customFormat="1" x14ac:dyDescent="0.2"/>
    <row r="41" s="37" customFormat="1" x14ac:dyDescent="0.2"/>
    <row r="42" s="37" customFormat="1" x14ac:dyDescent="0.2"/>
    <row r="43" s="37" customFormat="1" x14ac:dyDescent="0.2"/>
    <row r="44" s="37" customFormat="1" x14ac:dyDescent="0.2"/>
    <row r="45" s="37" customFormat="1" x14ac:dyDescent="0.2"/>
    <row r="46" s="37" customFormat="1" x14ac:dyDescent="0.2"/>
    <row r="47" s="37" customFormat="1" x14ac:dyDescent="0.2"/>
    <row r="48" s="37" customFormat="1" x14ac:dyDescent="0.2"/>
    <row r="49" s="37" customFormat="1" x14ac:dyDescent="0.2"/>
    <row r="50" s="37" customFormat="1" x14ac:dyDescent="0.2"/>
    <row r="51" s="37" customFormat="1" x14ac:dyDescent="0.2"/>
    <row r="52" s="37" customFormat="1" x14ac:dyDescent="0.2"/>
    <row r="53" s="37" customFormat="1" x14ac:dyDescent="0.2"/>
    <row r="54" s="37" customFormat="1" x14ac:dyDescent="0.2"/>
    <row r="55" s="37" customFormat="1" x14ac:dyDescent="0.2"/>
    <row r="56" s="37" customFormat="1" x14ac:dyDescent="0.2"/>
    <row r="57" s="38" customFormat="1" ht="15" thickBot="1" x14ac:dyDescent="0.25"/>
    <row r="58" ht="15" thickTop="1" x14ac:dyDescent="0.2"/>
  </sheetData>
  <mergeCells count="12">
    <mergeCell ref="R3:U3"/>
    <mergeCell ref="V3:Y3"/>
    <mergeCell ref="F19:I19"/>
    <mergeCell ref="J19:M19"/>
    <mergeCell ref="N19:Q19"/>
    <mergeCell ref="R19:U19"/>
    <mergeCell ref="V19:Y19"/>
    <mergeCell ref="A2:H2"/>
    <mergeCell ref="F3:I3"/>
    <mergeCell ref="J3:M3"/>
    <mergeCell ref="N3:Q3"/>
    <mergeCell ref="A23:H2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-0.249977111117893"/>
  </sheetPr>
  <dimension ref="A1:AE82"/>
  <sheetViews>
    <sheetView workbookViewId="0">
      <selection activeCell="G52" sqref="G52"/>
    </sheetView>
  </sheetViews>
  <sheetFormatPr defaultRowHeight="14.25" x14ac:dyDescent="0.2"/>
  <cols>
    <col min="1" max="1" width="44.42578125" style="1" bestFit="1" customWidth="1"/>
    <col min="2" max="5" width="2.140625" style="1" customWidth="1"/>
    <col min="6" max="7" width="12" style="1" bestFit="1" customWidth="1"/>
    <col min="8" max="8" width="12.85546875" style="1" customWidth="1"/>
    <col min="9" max="11" width="11.28515625" style="1" bestFit="1" customWidth="1"/>
    <col min="12" max="17" width="12" style="1" bestFit="1" customWidth="1"/>
    <col min="18" max="25" width="11.28515625" style="1" bestFit="1" customWidth="1"/>
    <col min="26" max="26" width="12.42578125" style="1" bestFit="1" customWidth="1"/>
    <col min="27" max="30" width="9.140625" style="1"/>
    <col min="31" max="31" width="10.140625" style="1" bestFit="1" customWidth="1"/>
    <col min="32" max="16384" width="9.140625" style="1"/>
  </cols>
  <sheetData>
    <row r="1" spans="1:26" ht="15" thickBot="1" x14ac:dyDescent="0.25"/>
    <row r="2" spans="1:26" s="2" customFormat="1" ht="27" thickTop="1" x14ac:dyDescent="0.4">
      <c r="A2" s="384" t="s">
        <v>196</v>
      </c>
      <c r="B2" s="384"/>
      <c r="C2" s="384"/>
      <c r="D2" s="384"/>
      <c r="E2" s="384"/>
      <c r="F2" s="384"/>
      <c r="G2" s="384"/>
      <c r="H2" s="384"/>
    </row>
    <row r="3" spans="1:26" s="3" customFormat="1" x14ac:dyDescent="0.2">
      <c r="F3" s="355" t="s">
        <v>34</v>
      </c>
      <c r="G3" s="356"/>
      <c r="H3" s="356"/>
      <c r="I3" s="357"/>
      <c r="J3" s="355" t="s">
        <v>35</v>
      </c>
      <c r="K3" s="356"/>
      <c r="L3" s="356"/>
      <c r="M3" s="357"/>
      <c r="N3" s="355" t="s">
        <v>36</v>
      </c>
      <c r="O3" s="356"/>
      <c r="P3" s="356"/>
      <c r="Q3" s="357"/>
      <c r="R3" s="355" t="s">
        <v>37</v>
      </c>
      <c r="S3" s="356"/>
      <c r="T3" s="356"/>
      <c r="U3" s="357"/>
      <c r="V3" s="355" t="s">
        <v>38</v>
      </c>
      <c r="W3" s="356"/>
      <c r="X3" s="356"/>
      <c r="Y3" s="357"/>
    </row>
    <row r="4" spans="1:26" s="3" customFormat="1" ht="15.75" x14ac:dyDescent="0.25">
      <c r="A4" s="109" t="s">
        <v>197</v>
      </c>
      <c r="F4" s="7" t="str">
        <f>'Параметры Доходы'!F4</f>
        <v>1 кв.</v>
      </c>
      <c r="G4" s="3" t="str">
        <f>'Параметры Доходы'!G4</f>
        <v>2 кв.</v>
      </c>
      <c r="H4" s="3" t="str">
        <f>'Параметры Доходы'!H4</f>
        <v>3 кв.</v>
      </c>
      <c r="I4" s="8" t="str">
        <f>'Параметры Доходы'!I4</f>
        <v>4 кв.</v>
      </c>
      <c r="J4" s="7" t="str">
        <f>'Параметры Доходы'!J4</f>
        <v>5 кв.</v>
      </c>
      <c r="K4" s="3" t="str">
        <f>'Параметры Доходы'!K4</f>
        <v>6 кв.</v>
      </c>
      <c r="L4" s="3" t="str">
        <f>'Параметры Доходы'!L4</f>
        <v>7 кв.</v>
      </c>
      <c r="M4" s="8" t="str">
        <f>'Параметры Доходы'!M4</f>
        <v>8 кв.</v>
      </c>
      <c r="N4" s="7" t="str">
        <f>'Параметры Доходы'!N4</f>
        <v>9 кв.</v>
      </c>
      <c r="O4" s="3" t="str">
        <f>'Параметры Доходы'!O4</f>
        <v>10 кв.</v>
      </c>
      <c r="P4" s="3" t="str">
        <f>'Параметры Доходы'!P4</f>
        <v>11 кв.</v>
      </c>
      <c r="Q4" s="8" t="str">
        <f>'Параметры Доходы'!Q4</f>
        <v>12 кв.</v>
      </c>
      <c r="R4" s="7" t="str">
        <f>'Параметры Доходы'!R4</f>
        <v>13 кв.</v>
      </c>
      <c r="S4" s="3" t="str">
        <f>'Параметры Доходы'!S4</f>
        <v>14 кв.</v>
      </c>
      <c r="T4" s="3" t="str">
        <f>'Параметры Доходы'!T4</f>
        <v>15 кв.</v>
      </c>
      <c r="U4" s="8" t="str">
        <f>'Параметры Доходы'!U4</f>
        <v>16 кв.</v>
      </c>
      <c r="V4" s="7" t="str">
        <f>'Параметры Доходы'!V4</f>
        <v>17 кв.</v>
      </c>
      <c r="W4" s="3" t="str">
        <f>'Параметры Доходы'!W4</f>
        <v>18 кв.</v>
      </c>
      <c r="X4" s="3" t="str">
        <f>'Параметры Доходы'!X4</f>
        <v>19 кв.</v>
      </c>
      <c r="Y4" s="8" t="str">
        <f>'Параметры Доходы'!Y4</f>
        <v>20 кв.</v>
      </c>
      <c r="Z4" s="3" t="s">
        <v>7</v>
      </c>
    </row>
    <row r="5" spans="1:26" s="3" customFormat="1" ht="15" x14ac:dyDescent="0.25">
      <c r="A5" s="110" t="s">
        <v>198</v>
      </c>
      <c r="F5" s="14">
        <f>SUM(F6:F8)</f>
        <v>0</v>
      </c>
      <c r="G5" s="13">
        <f t="shared" ref="G5:Y5" si="0">SUM(G6:G8)</f>
        <v>39852000</v>
      </c>
      <c r="H5" s="13">
        <f t="shared" si="0"/>
        <v>46494000</v>
      </c>
      <c r="I5" s="15">
        <f t="shared" si="0"/>
        <v>53136000</v>
      </c>
      <c r="J5" s="14">
        <f t="shared" si="0"/>
        <v>59778000</v>
      </c>
      <c r="K5" s="13">
        <f t="shared" si="0"/>
        <v>66420000</v>
      </c>
      <c r="L5" s="13">
        <f t="shared" si="0"/>
        <v>66420000</v>
      </c>
      <c r="M5" s="15">
        <f t="shared" si="0"/>
        <v>66420000</v>
      </c>
      <c r="N5" s="14">
        <f t="shared" si="0"/>
        <v>66420000</v>
      </c>
      <c r="O5" s="13">
        <f t="shared" si="0"/>
        <v>66420000</v>
      </c>
      <c r="P5" s="13">
        <f t="shared" si="0"/>
        <v>66420000</v>
      </c>
      <c r="Q5" s="15">
        <f t="shared" si="0"/>
        <v>66420000</v>
      </c>
      <c r="R5" s="14">
        <f t="shared" si="0"/>
        <v>66420000</v>
      </c>
      <c r="S5" s="13">
        <f t="shared" si="0"/>
        <v>66420000</v>
      </c>
      <c r="T5" s="13">
        <f t="shared" si="0"/>
        <v>66420000</v>
      </c>
      <c r="U5" s="15">
        <f t="shared" si="0"/>
        <v>66420000</v>
      </c>
      <c r="V5" s="14">
        <f t="shared" si="0"/>
        <v>66420000</v>
      </c>
      <c r="W5" s="13">
        <f t="shared" si="0"/>
        <v>66420000</v>
      </c>
      <c r="X5" s="13">
        <f t="shared" si="0"/>
        <v>66420000</v>
      </c>
      <c r="Y5" s="15">
        <f t="shared" si="0"/>
        <v>66420000</v>
      </c>
      <c r="Z5" s="13">
        <f>SUM(F5:Y5)</f>
        <v>1195560000</v>
      </c>
    </row>
    <row r="6" spans="1:26" s="112" customFormat="1" ht="12.75" x14ac:dyDescent="0.2">
      <c r="A6" s="111" t="str">
        <f>'Параметры Доходы'!A15</f>
        <v>Печь "ХЛЕБОПЕЧКА"</v>
      </c>
      <c r="F6" s="101">
        <f>'Параметры Доходы'!F5</f>
        <v>0</v>
      </c>
      <c r="G6" s="102">
        <f>'Параметры Доходы'!G5</f>
        <v>39852000</v>
      </c>
      <c r="H6" s="102">
        <f>'Параметры Доходы'!H5</f>
        <v>46494000</v>
      </c>
      <c r="I6" s="103">
        <f>'Параметры Доходы'!I5</f>
        <v>53136000</v>
      </c>
      <c r="J6" s="101">
        <f>'Параметры Доходы'!J5</f>
        <v>59778000</v>
      </c>
      <c r="K6" s="102">
        <f>'Параметры Доходы'!K5</f>
        <v>66420000</v>
      </c>
      <c r="L6" s="102">
        <f>'Параметры Доходы'!L5</f>
        <v>66420000</v>
      </c>
      <c r="M6" s="103">
        <f>'Параметры Доходы'!M5</f>
        <v>66420000</v>
      </c>
      <c r="N6" s="101">
        <f>'Параметры Доходы'!N5</f>
        <v>66420000</v>
      </c>
      <c r="O6" s="102">
        <f>'Параметры Доходы'!O5</f>
        <v>66420000</v>
      </c>
      <c r="P6" s="102">
        <f>'Параметры Доходы'!P5</f>
        <v>66420000</v>
      </c>
      <c r="Q6" s="103">
        <f>'Параметры Доходы'!Q5</f>
        <v>66420000</v>
      </c>
      <c r="R6" s="101">
        <f>'Параметры Доходы'!R5</f>
        <v>66420000</v>
      </c>
      <c r="S6" s="102">
        <f>'Параметры Доходы'!S5</f>
        <v>66420000</v>
      </c>
      <c r="T6" s="102">
        <f>'Параметры Доходы'!T5</f>
        <v>66420000</v>
      </c>
      <c r="U6" s="103">
        <f>'Параметры Доходы'!U5</f>
        <v>66420000</v>
      </c>
      <c r="V6" s="101">
        <f>'Параметры Доходы'!V5</f>
        <v>66420000</v>
      </c>
      <c r="W6" s="102">
        <f>'Параметры Доходы'!W5</f>
        <v>66420000</v>
      </c>
      <c r="X6" s="102">
        <f>'Параметры Доходы'!X5</f>
        <v>66420000</v>
      </c>
      <c r="Y6" s="103">
        <f>'Параметры Доходы'!Y5</f>
        <v>66420000</v>
      </c>
      <c r="Z6" s="102">
        <f t="shared" ref="Z6:Z47" si="1">SUM(F6:Y6)</f>
        <v>1195560000</v>
      </c>
    </row>
    <row r="7" spans="1:26" s="112" customFormat="1" ht="12.75" hidden="1" x14ac:dyDescent="0.2">
      <c r="A7" s="111">
        <f>'Параметры Доходы'!A16</f>
        <v>0</v>
      </c>
      <c r="F7" s="101">
        <f>'Параметры Доходы'!F6</f>
        <v>0</v>
      </c>
      <c r="G7" s="102">
        <f>'Параметры Доходы'!G6</f>
        <v>0</v>
      </c>
      <c r="H7" s="102">
        <f>'Параметры Доходы'!H6</f>
        <v>0</v>
      </c>
      <c r="I7" s="103">
        <f>'Параметры Доходы'!I6</f>
        <v>0</v>
      </c>
      <c r="J7" s="101">
        <f>'Параметры Доходы'!J6</f>
        <v>0</v>
      </c>
      <c r="K7" s="102">
        <f>'Параметры Доходы'!K6</f>
        <v>0</v>
      </c>
      <c r="L7" s="102">
        <f>'Параметры Доходы'!L6</f>
        <v>0</v>
      </c>
      <c r="M7" s="103">
        <f>'Параметры Доходы'!M6</f>
        <v>0</v>
      </c>
      <c r="N7" s="101">
        <f>'Параметры Доходы'!N6</f>
        <v>0</v>
      </c>
      <c r="O7" s="102">
        <f>'Параметры Доходы'!O6</f>
        <v>0</v>
      </c>
      <c r="P7" s="102">
        <f>'Параметры Доходы'!P6</f>
        <v>0</v>
      </c>
      <c r="Q7" s="103">
        <f>'Параметры Доходы'!Q6</f>
        <v>0</v>
      </c>
      <c r="R7" s="101">
        <f>'Параметры Доходы'!R6</f>
        <v>0</v>
      </c>
      <c r="S7" s="102">
        <f>'Параметры Доходы'!S6</f>
        <v>0</v>
      </c>
      <c r="T7" s="102">
        <f>'Параметры Доходы'!T6</f>
        <v>0</v>
      </c>
      <c r="U7" s="103">
        <f>'Параметры Доходы'!U6</f>
        <v>0</v>
      </c>
      <c r="V7" s="101">
        <f>'Параметры Доходы'!V6</f>
        <v>0</v>
      </c>
      <c r="W7" s="102">
        <f>'Параметры Доходы'!W6</f>
        <v>0</v>
      </c>
      <c r="X7" s="102">
        <f>'Параметры Доходы'!X6</f>
        <v>0</v>
      </c>
      <c r="Y7" s="103">
        <f>'Параметры Доходы'!Y6</f>
        <v>0</v>
      </c>
      <c r="Z7" s="102">
        <f t="shared" si="1"/>
        <v>0</v>
      </c>
    </row>
    <row r="8" spans="1:26" s="112" customFormat="1" ht="12.75" hidden="1" x14ac:dyDescent="0.2">
      <c r="A8" s="111">
        <f>'Параметры Доходы'!A17</f>
        <v>0</v>
      </c>
      <c r="F8" s="101">
        <f>'Параметры Доходы'!F7</f>
        <v>0</v>
      </c>
      <c r="G8" s="102">
        <f>'Параметры Доходы'!G7</f>
        <v>0</v>
      </c>
      <c r="H8" s="102">
        <f>'Параметры Доходы'!H7</f>
        <v>0</v>
      </c>
      <c r="I8" s="103">
        <f>'Параметры Доходы'!I7</f>
        <v>0</v>
      </c>
      <c r="J8" s="101">
        <f>'Параметры Доходы'!J7</f>
        <v>0</v>
      </c>
      <c r="K8" s="102">
        <f>'Параметры Доходы'!K7</f>
        <v>0</v>
      </c>
      <c r="L8" s="102">
        <f>'Параметры Доходы'!L7</f>
        <v>0</v>
      </c>
      <c r="M8" s="103">
        <f>'Параметры Доходы'!M7</f>
        <v>0</v>
      </c>
      <c r="N8" s="101">
        <f>'Параметры Доходы'!N7</f>
        <v>0</v>
      </c>
      <c r="O8" s="102">
        <f>'Параметры Доходы'!O7</f>
        <v>0</v>
      </c>
      <c r="P8" s="102">
        <f>'Параметры Доходы'!P7</f>
        <v>0</v>
      </c>
      <c r="Q8" s="103">
        <f>'Параметры Доходы'!Q7</f>
        <v>0</v>
      </c>
      <c r="R8" s="101">
        <f>'Параметры Доходы'!R7</f>
        <v>0</v>
      </c>
      <c r="S8" s="102">
        <f>'Параметры Доходы'!S7</f>
        <v>0</v>
      </c>
      <c r="T8" s="102">
        <f>'Параметры Доходы'!T7</f>
        <v>0</v>
      </c>
      <c r="U8" s="103">
        <f>'Параметры Доходы'!U7</f>
        <v>0</v>
      </c>
      <c r="V8" s="101">
        <f>'Параметры Доходы'!V7</f>
        <v>0</v>
      </c>
      <c r="W8" s="102">
        <f>'Параметры Доходы'!W7</f>
        <v>0</v>
      </c>
      <c r="X8" s="102">
        <f>'Параметры Доходы'!X7</f>
        <v>0</v>
      </c>
      <c r="Y8" s="103">
        <f>'Параметры Доходы'!Y7</f>
        <v>0</v>
      </c>
      <c r="Z8" s="102">
        <f t="shared" si="1"/>
        <v>0</v>
      </c>
    </row>
    <row r="9" spans="1:26" s="3" customFormat="1" ht="15" x14ac:dyDescent="0.25">
      <c r="A9" s="110" t="s">
        <v>210</v>
      </c>
      <c r="F9" s="14">
        <f>F10+F14+F27+F28</f>
        <v>5143647.2782630194</v>
      </c>
      <c r="G9" s="13">
        <f t="shared" ref="G9:Y9" si="2">G10+G14+G27+G28</f>
        <v>39161192.388561457</v>
      </c>
      <c r="H9" s="13">
        <f t="shared" si="2"/>
        <v>44391538.641424999</v>
      </c>
      <c r="I9" s="15">
        <f t="shared" si="2"/>
        <v>48707793.274559997</v>
      </c>
      <c r="J9" s="14">
        <f t="shared" si="2"/>
        <v>53080576.025979996</v>
      </c>
      <c r="K9" s="13">
        <f t="shared" si="2"/>
        <v>57453358.777399994</v>
      </c>
      <c r="L9" s="13">
        <f t="shared" si="2"/>
        <v>57442864.328819998</v>
      </c>
      <c r="M9" s="15">
        <f t="shared" si="2"/>
        <v>57432369.880239993</v>
      </c>
      <c r="N9" s="14">
        <f t="shared" si="2"/>
        <v>57421875.431659997</v>
      </c>
      <c r="O9" s="13">
        <f t="shared" si="2"/>
        <v>57411380.98308</v>
      </c>
      <c r="P9" s="13">
        <f t="shared" si="2"/>
        <v>57699977.034499995</v>
      </c>
      <c r="Q9" s="15">
        <f t="shared" si="2"/>
        <v>57705007.896919996</v>
      </c>
      <c r="R9" s="14">
        <f t="shared" si="2"/>
        <v>57701290.236379996</v>
      </c>
      <c r="S9" s="13">
        <f t="shared" si="2"/>
        <v>57697572.575839996</v>
      </c>
      <c r="T9" s="13">
        <f t="shared" si="2"/>
        <v>57693854.915299997</v>
      </c>
      <c r="U9" s="15">
        <f t="shared" si="2"/>
        <v>57690137.254759997</v>
      </c>
      <c r="V9" s="14">
        <f t="shared" si="2"/>
        <v>57686419.594219998</v>
      </c>
      <c r="W9" s="13">
        <f t="shared" si="2"/>
        <v>57682701.933679998</v>
      </c>
      <c r="X9" s="13">
        <f t="shared" si="2"/>
        <v>57678984.273139998</v>
      </c>
      <c r="Y9" s="15">
        <f t="shared" si="2"/>
        <v>57675266.612599999</v>
      </c>
      <c r="Z9" s="13">
        <f t="shared" si="1"/>
        <v>1054557809.3373293</v>
      </c>
    </row>
    <row r="10" spans="1:26" s="112" customFormat="1" ht="15" x14ac:dyDescent="0.25">
      <c r="A10" s="113" t="s">
        <v>211</v>
      </c>
      <c r="F10" s="104">
        <f>SUM(F11:F13)</f>
        <v>0</v>
      </c>
      <c r="G10" s="105">
        <f t="shared" ref="G10:Y10" si="3">SUM(G11:G13)</f>
        <v>19523494.800000001</v>
      </c>
      <c r="H10" s="105">
        <f t="shared" si="3"/>
        <v>22777410.600000001</v>
      </c>
      <c r="I10" s="106">
        <f t="shared" si="3"/>
        <v>26031326.399999999</v>
      </c>
      <c r="J10" s="104">
        <f t="shared" si="3"/>
        <v>29285242.199999999</v>
      </c>
      <c r="K10" s="105">
        <f t="shared" si="3"/>
        <v>32539158</v>
      </c>
      <c r="L10" s="105">
        <f t="shared" si="3"/>
        <v>32539158</v>
      </c>
      <c r="M10" s="106">
        <f t="shared" si="3"/>
        <v>32539158</v>
      </c>
      <c r="N10" s="104">
        <f t="shared" si="3"/>
        <v>32539158</v>
      </c>
      <c r="O10" s="105">
        <f t="shared" si="3"/>
        <v>32539158</v>
      </c>
      <c r="P10" s="105">
        <f t="shared" si="3"/>
        <v>32539158</v>
      </c>
      <c r="Q10" s="106">
        <f t="shared" si="3"/>
        <v>32539158</v>
      </c>
      <c r="R10" s="104">
        <f t="shared" si="3"/>
        <v>32539158</v>
      </c>
      <c r="S10" s="105">
        <f t="shared" si="3"/>
        <v>32539158</v>
      </c>
      <c r="T10" s="105">
        <f t="shared" si="3"/>
        <v>32539158</v>
      </c>
      <c r="U10" s="106">
        <f t="shared" si="3"/>
        <v>32539158</v>
      </c>
      <c r="V10" s="104">
        <f t="shared" si="3"/>
        <v>32539158</v>
      </c>
      <c r="W10" s="105">
        <f t="shared" si="3"/>
        <v>32539158</v>
      </c>
      <c r="X10" s="105">
        <f t="shared" si="3"/>
        <v>32539158</v>
      </c>
      <c r="Y10" s="106">
        <f t="shared" si="3"/>
        <v>32539158</v>
      </c>
      <c r="Z10" s="13">
        <f t="shared" si="1"/>
        <v>585704844</v>
      </c>
    </row>
    <row r="11" spans="1:26" s="112" customFormat="1" ht="12.75" x14ac:dyDescent="0.2">
      <c r="A11" s="114" t="str">
        <f>'Параметры Расходы'!A6</f>
        <v>Печь "ХЛЕБОПЕЧКА"</v>
      </c>
      <c r="F11" s="101">
        <f>'Параметры Расходы'!F6</f>
        <v>0</v>
      </c>
      <c r="G11" s="102">
        <f>'Параметры Расходы'!G6</f>
        <v>19523494.800000001</v>
      </c>
      <c r="H11" s="102">
        <f>'Параметры Расходы'!H6</f>
        <v>22777410.600000001</v>
      </c>
      <c r="I11" s="103">
        <f>'Параметры Расходы'!I6</f>
        <v>26031326.399999999</v>
      </c>
      <c r="J11" s="101">
        <f>'Параметры Расходы'!J6</f>
        <v>29285242.199999999</v>
      </c>
      <c r="K11" s="102">
        <f>'Параметры Расходы'!K6</f>
        <v>32539158</v>
      </c>
      <c r="L11" s="102">
        <f>'Параметры Расходы'!L6</f>
        <v>32539158</v>
      </c>
      <c r="M11" s="103">
        <f>'Параметры Расходы'!M6</f>
        <v>32539158</v>
      </c>
      <c r="N11" s="101">
        <f>'Параметры Расходы'!N6</f>
        <v>32539158</v>
      </c>
      <c r="O11" s="102">
        <f>'Параметры Расходы'!O6</f>
        <v>32539158</v>
      </c>
      <c r="P11" s="102">
        <f>'Параметры Расходы'!P6</f>
        <v>32539158</v>
      </c>
      <c r="Q11" s="103">
        <f>'Параметры Расходы'!Q6</f>
        <v>32539158</v>
      </c>
      <c r="R11" s="101">
        <f>'Параметры Расходы'!R6</f>
        <v>32539158</v>
      </c>
      <c r="S11" s="102">
        <f>'Параметры Расходы'!S6</f>
        <v>32539158</v>
      </c>
      <c r="T11" s="102">
        <f>'Параметры Расходы'!T6</f>
        <v>32539158</v>
      </c>
      <c r="U11" s="103">
        <f>'Параметры Расходы'!U6</f>
        <v>32539158</v>
      </c>
      <c r="V11" s="101">
        <f>'Параметры Расходы'!V6</f>
        <v>32539158</v>
      </c>
      <c r="W11" s="102">
        <f>'Параметры Расходы'!W6</f>
        <v>32539158</v>
      </c>
      <c r="X11" s="102">
        <f>'Параметры Расходы'!X6</f>
        <v>32539158</v>
      </c>
      <c r="Y11" s="103">
        <f>'Параметры Расходы'!Y6</f>
        <v>32539158</v>
      </c>
      <c r="Z11" s="102">
        <f t="shared" si="1"/>
        <v>585704844</v>
      </c>
    </row>
    <row r="12" spans="1:26" s="112" customFormat="1" ht="12.75" hidden="1" x14ac:dyDescent="0.2">
      <c r="A12" s="114">
        <f>'Параметры Расходы'!A7</f>
        <v>0</v>
      </c>
      <c r="F12" s="101">
        <f>'Параметры Расходы'!F7</f>
        <v>0</v>
      </c>
      <c r="G12" s="102">
        <f>'Параметры Расходы'!G7</f>
        <v>0</v>
      </c>
      <c r="H12" s="102">
        <f>'Параметры Расходы'!H7</f>
        <v>0</v>
      </c>
      <c r="I12" s="103">
        <f>'Параметры Расходы'!I7</f>
        <v>0</v>
      </c>
      <c r="J12" s="101">
        <f>'Параметры Расходы'!J7</f>
        <v>0</v>
      </c>
      <c r="K12" s="102">
        <f>'Параметры Расходы'!K7</f>
        <v>0</v>
      </c>
      <c r="L12" s="102">
        <f>'Параметры Расходы'!L7</f>
        <v>0</v>
      </c>
      <c r="M12" s="103">
        <f>'Параметры Расходы'!M7</f>
        <v>0</v>
      </c>
      <c r="N12" s="101">
        <f>'Параметры Расходы'!N7</f>
        <v>0</v>
      </c>
      <c r="O12" s="102">
        <f>'Параметры Расходы'!O7</f>
        <v>0</v>
      </c>
      <c r="P12" s="102">
        <f>'Параметры Расходы'!P7</f>
        <v>0</v>
      </c>
      <c r="Q12" s="103">
        <f>'Параметры Расходы'!Q7</f>
        <v>0</v>
      </c>
      <c r="R12" s="101">
        <f>'Параметры Расходы'!R7</f>
        <v>0</v>
      </c>
      <c r="S12" s="102">
        <f>'Параметры Расходы'!S7</f>
        <v>0</v>
      </c>
      <c r="T12" s="102">
        <f>'Параметры Расходы'!T7</f>
        <v>0</v>
      </c>
      <c r="U12" s="103">
        <f>'Параметры Расходы'!U7</f>
        <v>0</v>
      </c>
      <c r="V12" s="101">
        <f>'Параметры Расходы'!V7</f>
        <v>0</v>
      </c>
      <c r="W12" s="102">
        <f>'Параметры Расходы'!W7</f>
        <v>0</v>
      </c>
      <c r="X12" s="102">
        <f>'Параметры Расходы'!X7</f>
        <v>0</v>
      </c>
      <c r="Y12" s="103">
        <f>'Параметры Расходы'!Y7</f>
        <v>0</v>
      </c>
      <c r="Z12" s="102">
        <f t="shared" si="1"/>
        <v>0</v>
      </c>
    </row>
    <row r="13" spans="1:26" s="112" customFormat="1" ht="12.75" hidden="1" x14ac:dyDescent="0.2">
      <c r="A13" s="114">
        <f>'Параметры Расходы'!A8</f>
        <v>0</v>
      </c>
      <c r="F13" s="101">
        <f>'Параметры Расходы'!F8</f>
        <v>0</v>
      </c>
      <c r="G13" s="102">
        <f>'Параметры Расходы'!G8</f>
        <v>0</v>
      </c>
      <c r="H13" s="102">
        <f>'Параметры Расходы'!H8</f>
        <v>0</v>
      </c>
      <c r="I13" s="103">
        <f>'Параметры Расходы'!I8</f>
        <v>0</v>
      </c>
      <c r="J13" s="101">
        <f>'Параметры Расходы'!J8</f>
        <v>0</v>
      </c>
      <c r="K13" s="102">
        <f>'Параметры Расходы'!K8</f>
        <v>0</v>
      </c>
      <c r="L13" s="102">
        <f>'Параметры Расходы'!L8</f>
        <v>0</v>
      </c>
      <c r="M13" s="103">
        <f>'Параметры Расходы'!M8</f>
        <v>0</v>
      </c>
      <c r="N13" s="101">
        <f>'Параметры Расходы'!N8</f>
        <v>0</v>
      </c>
      <c r="O13" s="102">
        <f>'Параметры Расходы'!O8</f>
        <v>0</v>
      </c>
      <c r="P13" s="102">
        <f>'Параметры Расходы'!P8</f>
        <v>0</v>
      </c>
      <c r="Q13" s="103">
        <f>'Параметры Расходы'!Q8</f>
        <v>0</v>
      </c>
      <c r="R13" s="101">
        <f>'Параметры Расходы'!R8</f>
        <v>0</v>
      </c>
      <c r="S13" s="102">
        <f>'Параметры Расходы'!S8</f>
        <v>0</v>
      </c>
      <c r="T13" s="102">
        <f>'Параметры Расходы'!T8</f>
        <v>0</v>
      </c>
      <c r="U13" s="103">
        <f>'Параметры Расходы'!U8</f>
        <v>0</v>
      </c>
      <c r="V13" s="101">
        <f>'Параметры Расходы'!V8</f>
        <v>0</v>
      </c>
      <c r="W13" s="102">
        <f>'Параметры Расходы'!W8</f>
        <v>0</v>
      </c>
      <c r="X13" s="102">
        <f>'Параметры Расходы'!X8</f>
        <v>0</v>
      </c>
      <c r="Y13" s="103">
        <f>'Параметры Расходы'!Y8</f>
        <v>0</v>
      </c>
      <c r="Z13" s="102">
        <f t="shared" si="1"/>
        <v>0</v>
      </c>
    </row>
    <row r="14" spans="1:26" s="129" customFormat="1" ht="12.75" x14ac:dyDescent="0.2">
      <c r="A14" s="113" t="s">
        <v>212</v>
      </c>
      <c r="F14" s="104">
        <f>SUM(F15:F26)</f>
        <v>5980028.6571156234</v>
      </c>
      <c r="G14" s="105">
        <f t="shared" ref="G14:Y14" si="4">SUM(G15:G26)</f>
        <v>19406532.984343752</v>
      </c>
      <c r="H14" s="105">
        <f t="shared" si="4"/>
        <v>21003027.478649996</v>
      </c>
      <c r="I14" s="106">
        <f t="shared" si="4"/>
        <v>21003027.478649996</v>
      </c>
      <c r="J14" s="104">
        <f t="shared" si="4"/>
        <v>21003027.478649996</v>
      </c>
      <c r="K14" s="105">
        <f t="shared" si="4"/>
        <v>21003027.478649996</v>
      </c>
      <c r="L14" s="105">
        <f t="shared" si="4"/>
        <v>21003027.478649996</v>
      </c>
      <c r="M14" s="106">
        <f t="shared" si="4"/>
        <v>21003027.478649996</v>
      </c>
      <c r="N14" s="104">
        <f t="shared" si="4"/>
        <v>21003027.478649996</v>
      </c>
      <c r="O14" s="105">
        <f t="shared" si="4"/>
        <v>21003027.478649996</v>
      </c>
      <c r="P14" s="105">
        <f t="shared" si="4"/>
        <v>21003027.478649996</v>
      </c>
      <c r="Q14" s="106">
        <f t="shared" si="4"/>
        <v>21003027.478649996</v>
      </c>
      <c r="R14" s="104">
        <f t="shared" si="4"/>
        <v>21003027.478649996</v>
      </c>
      <c r="S14" s="105">
        <f t="shared" si="4"/>
        <v>21003027.478649996</v>
      </c>
      <c r="T14" s="105">
        <f t="shared" si="4"/>
        <v>21003027.478649996</v>
      </c>
      <c r="U14" s="106">
        <f t="shared" si="4"/>
        <v>21003027.478649996</v>
      </c>
      <c r="V14" s="104">
        <f t="shared" si="4"/>
        <v>21003027.478649996</v>
      </c>
      <c r="W14" s="105">
        <f t="shared" si="4"/>
        <v>21003027.478649996</v>
      </c>
      <c r="X14" s="105">
        <f t="shared" si="4"/>
        <v>21003027.478649996</v>
      </c>
      <c r="Y14" s="106">
        <f t="shared" si="4"/>
        <v>21003027.478649996</v>
      </c>
      <c r="Z14" s="105">
        <f t="shared" si="1"/>
        <v>403441056.25715923</v>
      </c>
    </row>
    <row r="15" spans="1:26" s="112" customFormat="1" ht="12.75" x14ac:dyDescent="0.2">
      <c r="A15" s="114" t="str">
        <f>'Параметры Расходы'!A14</f>
        <v>Заработная плата</v>
      </c>
      <c r="F15" s="101">
        <f>'Параметры Расходы'!F14</f>
        <v>5301548.4941666657</v>
      </c>
      <c r="G15" s="102">
        <f>'Параметры Расходы'!G14</f>
        <v>17197706.090833332</v>
      </c>
      <c r="H15" s="102">
        <f>'Параметры Расходы'!H14</f>
        <v>18620072.759999998</v>
      </c>
      <c r="I15" s="103">
        <f>'Параметры Расходы'!I14</f>
        <v>18620072.759999998</v>
      </c>
      <c r="J15" s="101">
        <f>'Параметры Расходы'!J14</f>
        <v>18620072.759999998</v>
      </c>
      <c r="K15" s="102">
        <f>'Параметры Расходы'!K14</f>
        <v>18620072.759999998</v>
      </c>
      <c r="L15" s="102">
        <f>'Параметры Расходы'!L14</f>
        <v>18620072.759999998</v>
      </c>
      <c r="M15" s="103">
        <f>'Параметры Расходы'!M14</f>
        <v>18620072.759999998</v>
      </c>
      <c r="N15" s="101">
        <f>'Параметры Расходы'!N14</f>
        <v>18620072.759999998</v>
      </c>
      <c r="O15" s="102">
        <f>'Параметры Расходы'!O14</f>
        <v>18620072.759999998</v>
      </c>
      <c r="P15" s="102">
        <f>'Параметры Расходы'!P14</f>
        <v>18620072.759999998</v>
      </c>
      <c r="Q15" s="103">
        <f>'Параметры Расходы'!Q14</f>
        <v>18620072.759999998</v>
      </c>
      <c r="R15" s="101">
        <f>'Параметры Расходы'!R14</f>
        <v>18620072.759999998</v>
      </c>
      <c r="S15" s="102">
        <f>'Параметры Расходы'!S14</f>
        <v>18620072.759999998</v>
      </c>
      <c r="T15" s="102">
        <f>'Параметры Расходы'!T14</f>
        <v>18620072.759999998</v>
      </c>
      <c r="U15" s="103">
        <f>'Параметры Расходы'!U14</f>
        <v>18620072.759999998</v>
      </c>
      <c r="V15" s="101">
        <f>'Параметры Расходы'!V14</f>
        <v>18620072.759999998</v>
      </c>
      <c r="W15" s="102">
        <f>'Параметры Расходы'!W14</f>
        <v>18620072.759999998</v>
      </c>
      <c r="X15" s="102">
        <f>'Параметры Расходы'!X14</f>
        <v>18620072.759999998</v>
      </c>
      <c r="Y15" s="103">
        <f>'Параметры Расходы'!Y14</f>
        <v>18620072.759999998</v>
      </c>
      <c r="Z15" s="102">
        <f t="shared" si="1"/>
        <v>357660564.26499987</v>
      </c>
    </row>
    <row r="16" spans="1:26" s="112" customFormat="1" ht="12.75" x14ac:dyDescent="0.2">
      <c r="A16" s="114" t="str">
        <f>'Параметры Расходы'!A15</f>
        <v>Аренда</v>
      </c>
      <c r="F16" s="101">
        <f>'Параметры Расходы'!F15</f>
        <v>518239.14583333331</v>
      </c>
      <c r="G16" s="102">
        <f>'Параметры Расходы'!G15</f>
        <v>1681117.2291666667</v>
      </c>
      <c r="H16" s="102">
        <f>'Параметры Расходы'!H15</f>
        <v>1820157</v>
      </c>
      <c r="I16" s="103">
        <f>'Параметры Расходы'!I15</f>
        <v>1820157</v>
      </c>
      <c r="J16" s="101">
        <f>'Параметры Расходы'!J15</f>
        <v>1820157</v>
      </c>
      <c r="K16" s="102">
        <f>'Параметры Расходы'!K15</f>
        <v>1820157</v>
      </c>
      <c r="L16" s="102">
        <f>'Параметры Расходы'!L15</f>
        <v>1820157</v>
      </c>
      <c r="M16" s="103">
        <f>'Параметры Расходы'!M15</f>
        <v>1820157</v>
      </c>
      <c r="N16" s="101">
        <f>'Параметры Расходы'!N15</f>
        <v>1820157</v>
      </c>
      <c r="O16" s="102">
        <f>'Параметры Расходы'!O15</f>
        <v>1820157</v>
      </c>
      <c r="P16" s="102">
        <f>'Параметры Расходы'!P15</f>
        <v>1820157</v>
      </c>
      <c r="Q16" s="103">
        <f>'Параметры Расходы'!Q15</f>
        <v>1820157</v>
      </c>
      <c r="R16" s="101">
        <f>'Параметры Расходы'!R15</f>
        <v>1820157</v>
      </c>
      <c r="S16" s="102">
        <f>'Параметры Расходы'!S15</f>
        <v>1820157</v>
      </c>
      <c r="T16" s="102">
        <f>'Параметры Расходы'!T15</f>
        <v>1820157</v>
      </c>
      <c r="U16" s="103">
        <f>'Параметры Расходы'!U15</f>
        <v>1820157</v>
      </c>
      <c r="V16" s="101">
        <f>'Параметры Расходы'!V15</f>
        <v>1820157</v>
      </c>
      <c r="W16" s="102">
        <f>'Параметры Расходы'!W15</f>
        <v>1820157</v>
      </c>
      <c r="X16" s="102">
        <f>'Параметры Расходы'!X15</f>
        <v>1820157</v>
      </c>
      <c r="Y16" s="103">
        <f>'Параметры Расходы'!Y15</f>
        <v>1820157</v>
      </c>
      <c r="Z16" s="102">
        <f t="shared" si="1"/>
        <v>34962182.375</v>
      </c>
    </row>
    <row r="17" spans="1:26" s="112" customFormat="1" ht="12.75" x14ac:dyDescent="0.2">
      <c r="A17" s="114" t="str">
        <f>'Параметры Расходы'!A16</f>
        <v>Энергия</v>
      </c>
      <c r="F17" s="101">
        <f>'Параметры Расходы'!F16</f>
        <v>32054.705416666668</v>
      </c>
      <c r="G17" s="102">
        <f>'Параметры Расходы'!G16</f>
        <v>103982.33708333335</v>
      </c>
      <c r="H17" s="102">
        <f>'Параметры Расходы'!H16</f>
        <v>112582.38</v>
      </c>
      <c r="I17" s="103">
        <f>'Параметры Расходы'!I16</f>
        <v>112582.38</v>
      </c>
      <c r="J17" s="101">
        <f>'Параметры Расходы'!J16</f>
        <v>112582.38</v>
      </c>
      <c r="K17" s="102">
        <f>'Параметры Расходы'!K16</f>
        <v>112582.38</v>
      </c>
      <c r="L17" s="102">
        <f>'Параметры Расходы'!L16</f>
        <v>112582.38</v>
      </c>
      <c r="M17" s="103">
        <f>'Параметры Расходы'!M16</f>
        <v>112582.38</v>
      </c>
      <c r="N17" s="101">
        <f>'Параметры Расходы'!N16</f>
        <v>112582.38</v>
      </c>
      <c r="O17" s="102">
        <f>'Параметры Расходы'!O16</f>
        <v>112582.38</v>
      </c>
      <c r="P17" s="102">
        <f>'Параметры Расходы'!P16</f>
        <v>112582.38</v>
      </c>
      <c r="Q17" s="103">
        <f>'Параметры Расходы'!Q16</f>
        <v>112582.38</v>
      </c>
      <c r="R17" s="101">
        <f>'Параметры Расходы'!R16</f>
        <v>112582.38</v>
      </c>
      <c r="S17" s="102">
        <f>'Параметры Расходы'!S16</f>
        <v>112582.38</v>
      </c>
      <c r="T17" s="102">
        <f>'Параметры Расходы'!T16</f>
        <v>112582.38</v>
      </c>
      <c r="U17" s="103">
        <f>'Параметры Расходы'!U16</f>
        <v>112582.38</v>
      </c>
      <c r="V17" s="101">
        <f>'Параметры Расходы'!V16</f>
        <v>112582.38</v>
      </c>
      <c r="W17" s="102">
        <f>'Параметры Расходы'!W16</f>
        <v>112582.38</v>
      </c>
      <c r="X17" s="102">
        <f>'Параметры Расходы'!X16</f>
        <v>112582.38</v>
      </c>
      <c r="Y17" s="103">
        <f>'Параметры Расходы'!Y16</f>
        <v>112582.38</v>
      </c>
      <c r="Z17" s="102">
        <f t="shared" si="1"/>
        <v>2162519.8824999989</v>
      </c>
    </row>
    <row r="18" spans="1:26" s="112" customFormat="1" ht="12.75" x14ac:dyDescent="0.2">
      <c r="A18" s="114" t="str">
        <f>'Параметры Расходы'!A17</f>
        <v>Вода</v>
      </c>
      <c r="F18" s="101">
        <f>'Параметры Расходы'!F17</f>
        <v>386.09187499999996</v>
      </c>
      <c r="G18" s="102">
        <f>'Параметры Расходы'!G17</f>
        <v>1252.444375</v>
      </c>
      <c r="H18" s="102">
        <f>'Параметры Расходы'!H17</f>
        <v>1356.03</v>
      </c>
      <c r="I18" s="103">
        <f>'Параметры Расходы'!I17</f>
        <v>1356.03</v>
      </c>
      <c r="J18" s="101">
        <f>'Параметры Расходы'!J17</f>
        <v>1356.03</v>
      </c>
      <c r="K18" s="102">
        <f>'Параметры Расходы'!K17</f>
        <v>1356.03</v>
      </c>
      <c r="L18" s="102">
        <f>'Параметры Расходы'!L17</f>
        <v>1356.03</v>
      </c>
      <c r="M18" s="103">
        <f>'Параметры Расходы'!M17</f>
        <v>1356.03</v>
      </c>
      <c r="N18" s="101">
        <f>'Параметры Расходы'!N17</f>
        <v>1356.03</v>
      </c>
      <c r="O18" s="102">
        <f>'Параметры Расходы'!O17</f>
        <v>1356.03</v>
      </c>
      <c r="P18" s="102">
        <f>'Параметры Расходы'!P17</f>
        <v>1356.03</v>
      </c>
      <c r="Q18" s="103">
        <f>'Параметры Расходы'!Q17</f>
        <v>1356.03</v>
      </c>
      <c r="R18" s="101">
        <f>'Параметры Расходы'!R17</f>
        <v>1356.03</v>
      </c>
      <c r="S18" s="102">
        <f>'Параметры Расходы'!S17</f>
        <v>1356.03</v>
      </c>
      <c r="T18" s="102">
        <f>'Параметры Расходы'!T17</f>
        <v>1356.03</v>
      </c>
      <c r="U18" s="103">
        <f>'Параметры Расходы'!U17</f>
        <v>1356.03</v>
      </c>
      <c r="V18" s="101">
        <f>'Параметры Расходы'!V17</f>
        <v>1356.03</v>
      </c>
      <c r="W18" s="102">
        <f>'Параметры Расходы'!W17</f>
        <v>1356.03</v>
      </c>
      <c r="X18" s="102">
        <f>'Параметры Расходы'!X17</f>
        <v>1356.03</v>
      </c>
      <c r="Y18" s="103">
        <f>'Параметры Расходы'!Y17</f>
        <v>1356.03</v>
      </c>
      <c r="Z18" s="102">
        <f t="shared" si="1"/>
        <v>26047.076249999995</v>
      </c>
    </row>
    <row r="19" spans="1:26" s="112" customFormat="1" ht="12.75" x14ac:dyDescent="0.2">
      <c r="A19" s="114" t="str">
        <f>'Параметры Расходы'!A18</f>
        <v>Вывоз ТБО</v>
      </c>
      <c r="F19" s="101">
        <f>'Параметры Расходы'!F18</f>
        <v>987.91208333333327</v>
      </c>
      <c r="G19" s="102">
        <f>'Параметры Расходы'!G18</f>
        <v>3204.6904166666668</v>
      </c>
      <c r="H19" s="102">
        <f>'Параметры Расходы'!H18</f>
        <v>3469.74</v>
      </c>
      <c r="I19" s="103">
        <f>'Параметры Расходы'!I18</f>
        <v>3469.74</v>
      </c>
      <c r="J19" s="101">
        <f>'Параметры Расходы'!J18</f>
        <v>3469.74</v>
      </c>
      <c r="K19" s="102">
        <f>'Параметры Расходы'!K18</f>
        <v>3469.74</v>
      </c>
      <c r="L19" s="102">
        <f>'Параметры Расходы'!L18</f>
        <v>3469.74</v>
      </c>
      <c r="M19" s="103">
        <f>'Параметры Расходы'!M18</f>
        <v>3469.74</v>
      </c>
      <c r="N19" s="101">
        <f>'Параметры Расходы'!N18</f>
        <v>3469.74</v>
      </c>
      <c r="O19" s="102">
        <f>'Параметры Расходы'!O18</f>
        <v>3469.74</v>
      </c>
      <c r="P19" s="102">
        <f>'Параметры Расходы'!P18</f>
        <v>3469.74</v>
      </c>
      <c r="Q19" s="103">
        <f>'Параметры Расходы'!Q18</f>
        <v>3469.74</v>
      </c>
      <c r="R19" s="101">
        <f>'Параметры Расходы'!R18</f>
        <v>3469.74</v>
      </c>
      <c r="S19" s="102">
        <f>'Параметры Расходы'!S18</f>
        <v>3469.74</v>
      </c>
      <c r="T19" s="102">
        <f>'Параметры Расходы'!T18</f>
        <v>3469.74</v>
      </c>
      <c r="U19" s="103">
        <f>'Параметры Расходы'!U18</f>
        <v>3469.74</v>
      </c>
      <c r="V19" s="101">
        <f>'Параметры Расходы'!V18</f>
        <v>3469.74</v>
      </c>
      <c r="W19" s="102">
        <f>'Параметры Расходы'!W18</f>
        <v>3469.74</v>
      </c>
      <c r="X19" s="102">
        <f>'Параметры Расходы'!X18</f>
        <v>3469.74</v>
      </c>
      <c r="Y19" s="103">
        <f>'Параметры Расходы'!Y18</f>
        <v>3469.74</v>
      </c>
      <c r="Z19" s="102">
        <f t="shared" si="1"/>
        <v>66647.922499999971</v>
      </c>
    </row>
    <row r="20" spans="1:26" s="112" customFormat="1" ht="12.75" x14ac:dyDescent="0.2">
      <c r="A20" s="114" t="str">
        <f>'Параметры Расходы'!A19</f>
        <v>Хозяйственные расходы</v>
      </c>
      <c r="F20" s="101">
        <f>'Параметры Расходы'!F19</f>
        <v>7687.5</v>
      </c>
      <c r="G20" s="102">
        <f>'Параметры Расходы'!G19</f>
        <v>24937.5</v>
      </c>
      <c r="H20" s="102">
        <f>'Параметры Расходы'!H19</f>
        <v>27000</v>
      </c>
      <c r="I20" s="103">
        <f>'Параметры Расходы'!I19</f>
        <v>27000</v>
      </c>
      <c r="J20" s="101">
        <f>'Параметры Расходы'!J19</f>
        <v>27000</v>
      </c>
      <c r="K20" s="102">
        <f>'Параметры Расходы'!K19</f>
        <v>27000</v>
      </c>
      <c r="L20" s="102">
        <f>'Параметры Расходы'!L19</f>
        <v>27000</v>
      </c>
      <c r="M20" s="103">
        <f>'Параметры Расходы'!M19</f>
        <v>27000</v>
      </c>
      <c r="N20" s="101">
        <f>'Параметры Расходы'!N19</f>
        <v>27000</v>
      </c>
      <c r="O20" s="102">
        <f>'Параметры Расходы'!O19</f>
        <v>27000</v>
      </c>
      <c r="P20" s="102">
        <f>'Параметры Расходы'!P19</f>
        <v>27000</v>
      </c>
      <c r="Q20" s="103">
        <f>'Параметры Расходы'!Q19</f>
        <v>27000</v>
      </c>
      <c r="R20" s="101">
        <f>'Параметры Расходы'!R19</f>
        <v>27000</v>
      </c>
      <c r="S20" s="102">
        <f>'Параметры Расходы'!S19</f>
        <v>27000</v>
      </c>
      <c r="T20" s="102">
        <f>'Параметры Расходы'!T19</f>
        <v>27000</v>
      </c>
      <c r="U20" s="103">
        <f>'Параметры Расходы'!U19</f>
        <v>27000</v>
      </c>
      <c r="V20" s="101">
        <f>'Параметры Расходы'!V19</f>
        <v>27000</v>
      </c>
      <c r="W20" s="102">
        <f>'Параметры Расходы'!W19</f>
        <v>27000</v>
      </c>
      <c r="X20" s="102">
        <f>'Параметры Расходы'!X19</f>
        <v>27000</v>
      </c>
      <c r="Y20" s="103">
        <f>'Параметры Расходы'!Y19</f>
        <v>27000</v>
      </c>
      <c r="Z20" s="102">
        <f t="shared" si="1"/>
        <v>518625</v>
      </c>
    </row>
    <row r="21" spans="1:26" s="112" customFormat="1" ht="12.75" x14ac:dyDescent="0.2">
      <c r="A21" s="114" t="str">
        <f>'Параметры Расходы'!A20</f>
        <v>Канцелярские расходы</v>
      </c>
      <c r="F21" s="101">
        <f>'Параметры Расходы'!F20</f>
        <v>7687.5</v>
      </c>
      <c r="G21" s="102">
        <f>'Параметры Расходы'!G20</f>
        <v>24937.5</v>
      </c>
      <c r="H21" s="102">
        <f>'Параметры Расходы'!H20</f>
        <v>27000</v>
      </c>
      <c r="I21" s="103">
        <f>'Параметры Расходы'!I20</f>
        <v>27000</v>
      </c>
      <c r="J21" s="101">
        <f>'Параметры Расходы'!J20</f>
        <v>27000</v>
      </c>
      <c r="K21" s="102">
        <f>'Параметры Расходы'!K20</f>
        <v>27000</v>
      </c>
      <c r="L21" s="102">
        <f>'Параметры Расходы'!L20</f>
        <v>27000</v>
      </c>
      <c r="M21" s="103">
        <f>'Параметры Расходы'!M20</f>
        <v>27000</v>
      </c>
      <c r="N21" s="101">
        <f>'Параметры Расходы'!N20</f>
        <v>27000</v>
      </c>
      <c r="O21" s="102">
        <f>'Параметры Расходы'!O20</f>
        <v>27000</v>
      </c>
      <c r="P21" s="102">
        <f>'Параметры Расходы'!P20</f>
        <v>27000</v>
      </c>
      <c r="Q21" s="103">
        <f>'Параметры Расходы'!Q20</f>
        <v>27000</v>
      </c>
      <c r="R21" s="101">
        <f>'Параметры Расходы'!R20</f>
        <v>27000</v>
      </c>
      <c r="S21" s="102">
        <f>'Параметры Расходы'!S20</f>
        <v>27000</v>
      </c>
      <c r="T21" s="102">
        <f>'Параметры Расходы'!T20</f>
        <v>27000</v>
      </c>
      <c r="U21" s="103">
        <f>'Параметры Расходы'!U20</f>
        <v>27000</v>
      </c>
      <c r="V21" s="101">
        <f>'Параметры Расходы'!V20</f>
        <v>27000</v>
      </c>
      <c r="W21" s="102">
        <f>'Параметры Расходы'!W20</f>
        <v>27000</v>
      </c>
      <c r="X21" s="102">
        <f>'Параметры Расходы'!X20</f>
        <v>27000</v>
      </c>
      <c r="Y21" s="103">
        <f>'Параметры Расходы'!Y20</f>
        <v>27000</v>
      </c>
      <c r="Z21" s="102">
        <f t="shared" si="1"/>
        <v>518625</v>
      </c>
    </row>
    <row r="22" spans="1:26" s="112" customFormat="1" ht="12.75" x14ac:dyDescent="0.2">
      <c r="A22" s="114" t="str">
        <f>'Параметры Расходы'!A21</f>
        <v>Интернет</v>
      </c>
      <c r="F22" s="101">
        <f>'Параметры Расходы'!F21</f>
        <v>7687.5</v>
      </c>
      <c r="G22" s="102">
        <f>'Параметры Расходы'!G21</f>
        <v>24937.5</v>
      </c>
      <c r="H22" s="102">
        <f>'Параметры Расходы'!H21</f>
        <v>27000</v>
      </c>
      <c r="I22" s="103">
        <f>'Параметры Расходы'!I21</f>
        <v>27000</v>
      </c>
      <c r="J22" s="101">
        <f>'Параметры Расходы'!J21</f>
        <v>27000</v>
      </c>
      <c r="K22" s="102">
        <f>'Параметры Расходы'!K21</f>
        <v>27000</v>
      </c>
      <c r="L22" s="102">
        <f>'Параметры Расходы'!L21</f>
        <v>27000</v>
      </c>
      <c r="M22" s="103">
        <f>'Параметры Расходы'!M21</f>
        <v>27000</v>
      </c>
      <c r="N22" s="101">
        <f>'Параметры Расходы'!N21</f>
        <v>27000</v>
      </c>
      <c r="O22" s="102">
        <f>'Параметры Расходы'!O21</f>
        <v>27000</v>
      </c>
      <c r="P22" s="102">
        <f>'Параметры Расходы'!P21</f>
        <v>27000</v>
      </c>
      <c r="Q22" s="103">
        <f>'Параметры Расходы'!Q21</f>
        <v>27000</v>
      </c>
      <c r="R22" s="101">
        <f>'Параметры Расходы'!R21</f>
        <v>27000</v>
      </c>
      <c r="S22" s="102">
        <f>'Параметры Расходы'!S21</f>
        <v>27000</v>
      </c>
      <c r="T22" s="102">
        <f>'Параметры Расходы'!T21</f>
        <v>27000</v>
      </c>
      <c r="U22" s="103">
        <f>'Параметры Расходы'!U21</f>
        <v>27000</v>
      </c>
      <c r="V22" s="101">
        <f>'Параметры Расходы'!V21</f>
        <v>27000</v>
      </c>
      <c r="W22" s="102">
        <f>'Параметры Расходы'!W21</f>
        <v>27000</v>
      </c>
      <c r="X22" s="102">
        <f>'Параметры Расходы'!X21</f>
        <v>27000</v>
      </c>
      <c r="Y22" s="103">
        <f>'Параметры Расходы'!Y21</f>
        <v>27000</v>
      </c>
      <c r="Z22" s="102">
        <f t="shared" si="1"/>
        <v>518625</v>
      </c>
    </row>
    <row r="23" spans="1:26" s="112" customFormat="1" ht="12.75" x14ac:dyDescent="0.2">
      <c r="A23" s="114" t="str">
        <f>'Параметры Расходы'!A22</f>
        <v>Телефон</v>
      </c>
      <c r="F23" s="101">
        <f>'Параметры Расходы'!F22</f>
        <v>7687.5</v>
      </c>
      <c r="G23" s="102">
        <f>'Параметры Расходы'!G22</f>
        <v>24937.5</v>
      </c>
      <c r="H23" s="102">
        <f>'Параметры Расходы'!H22</f>
        <v>27000</v>
      </c>
      <c r="I23" s="103">
        <f>'Параметры Расходы'!I22</f>
        <v>27000</v>
      </c>
      <c r="J23" s="101">
        <f>'Параметры Расходы'!J22</f>
        <v>27000</v>
      </c>
      <c r="K23" s="102">
        <f>'Параметры Расходы'!K22</f>
        <v>27000</v>
      </c>
      <c r="L23" s="102">
        <f>'Параметры Расходы'!L22</f>
        <v>27000</v>
      </c>
      <c r="M23" s="103">
        <f>'Параметры Расходы'!M22</f>
        <v>27000</v>
      </c>
      <c r="N23" s="101">
        <f>'Параметры Расходы'!N22</f>
        <v>27000</v>
      </c>
      <c r="O23" s="102">
        <f>'Параметры Расходы'!O22</f>
        <v>27000</v>
      </c>
      <c r="P23" s="102">
        <f>'Параметры Расходы'!P22</f>
        <v>27000</v>
      </c>
      <c r="Q23" s="103">
        <f>'Параметры Расходы'!Q22</f>
        <v>27000</v>
      </c>
      <c r="R23" s="101">
        <f>'Параметры Расходы'!R22</f>
        <v>27000</v>
      </c>
      <c r="S23" s="102">
        <f>'Параметры Расходы'!S22</f>
        <v>27000</v>
      </c>
      <c r="T23" s="102">
        <f>'Параметры Расходы'!T22</f>
        <v>27000</v>
      </c>
      <c r="U23" s="103">
        <f>'Параметры Расходы'!U22</f>
        <v>27000</v>
      </c>
      <c r="V23" s="101">
        <f>'Параметры Расходы'!V22</f>
        <v>27000</v>
      </c>
      <c r="W23" s="102">
        <f>'Параметры Расходы'!W22</f>
        <v>27000</v>
      </c>
      <c r="X23" s="102">
        <f>'Параметры Расходы'!X22</f>
        <v>27000</v>
      </c>
      <c r="Y23" s="103">
        <f>'Параметры Расходы'!Y22</f>
        <v>27000</v>
      </c>
      <c r="Z23" s="102">
        <f t="shared" si="1"/>
        <v>518625</v>
      </c>
    </row>
    <row r="24" spans="1:26" s="112" customFormat="1" ht="12.75" x14ac:dyDescent="0.2">
      <c r="A24" s="114" t="str">
        <f>'Параметры Расходы'!A23</f>
        <v>Программное обеспечение</v>
      </c>
      <c r="F24" s="101">
        <f>'Параметры Расходы'!F23</f>
        <v>7687.5</v>
      </c>
      <c r="G24" s="102">
        <f>'Параметры Расходы'!G23</f>
        <v>24937.5</v>
      </c>
      <c r="H24" s="102">
        <f>'Параметры Расходы'!H23</f>
        <v>27000</v>
      </c>
      <c r="I24" s="103">
        <f>'Параметры Расходы'!I23</f>
        <v>27000</v>
      </c>
      <c r="J24" s="101">
        <f>'Параметры Расходы'!J23</f>
        <v>27000</v>
      </c>
      <c r="K24" s="102">
        <f>'Параметры Расходы'!K23</f>
        <v>27000</v>
      </c>
      <c r="L24" s="102">
        <f>'Параметры Расходы'!L23</f>
        <v>27000</v>
      </c>
      <c r="M24" s="103">
        <f>'Параметры Расходы'!M23</f>
        <v>27000</v>
      </c>
      <c r="N24" s="101">
        <f>'Параметры Расходы'!N23</f>
        <v>27000</v>
      </c>
      <c r="O24" s="102">
        <f>'Параметры Расходы'!O23</f>
        <v>27000</v>
      </c>
      <c r="P24" s="102">
        <f>'Параметры Расходы'!P23</f>
        <v>27000</v>
      </c>
      <c r="Q24" s="103">
        <f>'Параметры Расходы'!Q23</f>
        <v>27000</v>
      </c>
      <c r="R24" s="101">
        <f>'Параметры Расходы'!R23</f>
        <v>27000</v>
      </c>
      <c r="S24" s="102">
        <f>'Параметры Расходы'!S23</f>
        <v>27000</v>
      </c>
      <c r="T24" s="102">
        <f>'Параметры Расходы'!T23</f>
        <v>27000</v>
      </c>
      <c r="U24" s="103">
        <f>'Параметры Расходы'!U23</f>
        <v>27000</v>
      </c>
      <c r="V24" s="101">
        <f>'Параметры Расходы'!V23</f>
        <v>27000</v>
      </c>
      <c r="W24" s="102">
        <f>'Параметры Расходы'!W23</f>
        <v>27000</v>
      </c>
      <c r="X24" s="102">
        <f>'Параметры Расходы'!X23</f>
        <v>27000</v>
      </c>
      <c r="Y24" s="103">
        <f>'Параметры Расходы'!Y23</f>
        <v>27000</v>
      </c>
      <c r="Z24" s="102">
        <f t="shared" si="1"/>
        <v>518625</v>
      </c>
    </row>
    <row r="25" spans="1:26" s="112" customFormat="1" ht="12.75" x14ac:dyDescent="0.2">
      <c r="A25" s="114" t="str">
        <f>'Параметры Расходы'!A24</f>
        <v>Маркетинг и реклама</v>
      </c>
      <c r="F25" s="101">
        <f>'Параметры Расходы'!F24</f>
        <v>58916.538493749984</v>
      </c>
      <c r="G25" s="102">
        <f>'Параметры Расходы'!G24</f>
        <v>191119.50291874999</v>
      </c>
      <c r="H25" s="102">
        <f>'Параметры Расходы'!H24</f>
        <v>206926.37909999996</v>
      </c>
      <c r="I25" s="103">
        <f>'Параметры Расходы'!I24</f>
        <v>206926.37909999996</v>
      </c>
      <c r="J25" s="101">
        <f>'Параметры Расходы'!J24</f>
        <v>206926.37909999996</v>
      </c>
      <c r="K25" s="102">
        <f>'Параметры Расходы'!K24</f>
        <v>206926.37909999996</v>
      </c>
      <c r="L25" s="102">
        <f>'Параметры Расходы'!L24</f>
        <v>206926.37909999996</v>
      </c>
      <c r="M25" s="103">
        <f>'Параметры Расходы'!M24</f>
        <v>206926.37909999996</v>
      </c>
      <c r="N25" s="101">
        <f>'Параметры Расходы'!N24</f>
        <v>206926.37909999996</v>
      </c>
      <c r="O25" s="102">
        <f>'Параметры Расходы'!O24</f>
        <v>206926.37909999996</v>
      </c>
      <c r="P25" s="102">
        <f>'Параметры Расходы'!P24</f>
        <v>206926.37909999996</v>
      </c>
      <c r="Q25" s="103">
        <f>'Параметры Расходы'!Q24</f>
        <v>206926.37909999996</v>
      </c>
      <c r="R25" s="101">
        <f>'Параметры Расходы'!R24</f>
        <v>206926.37909999996</v>
      </c>
      <c r="S25" s="102">
        <f>'Параметры Расходы'!S24</f>
        <v>206926.37909999996</v>
      </c>
      <c r="T25" s="102">
        <f>'Параметры Расходы'!T24</f>
        <v>206926.37909999996</v>
      </c>
      <c r="U25" s="103">
        <f>'Параметры Расходы'!U24</f>
        <v>206926.37909999996</v>
      </c>
      <c r="V25" s="101">
        <f>'Параметры Расходы'!V24</f>
        <v>206926.37909999996</v>
      </c>
      <c r="W25" s="102">
        <f>'Параметры Расходы'!W24</f>
        <v>206926.37909999996</v>
      </c>
      <c r="X25" s="102">
        <f>'Параметры Расходы'!X24</f>
        <v>206926.37909999996</v>
      </c>
      <c r="Y25" s="103">
        <f>'Параметры Расходы'!Y24</f>
        <v>206926.37909999996</v>
      </c>
      <c r="Z25" s="102">
        <f t="shared" si="1"/>
        <v>3974710.8652125001</v>
      </c>
    </row>
    <row r="26" spans="1:26" s="112" customFormat="1" ht="12.75" x14ac:dyDescent="0.2">
      <c r="A26" s="114" t="str">
        <f>'Параметры Расходы'!A25</f>
        <v>Прочие расходы</v>
      </c>
      <c r="F26" s="101">
        <f>'Параметры Расходы'!F25</f>
        <v>29458.269246874992</v>
      </c>
      <c r="G26" s="102">
        <f>'Параметры Расходы'!G25</f>
        <v>103463.18954999998</v>
      </c>
      <c r="H26" s="102">
        <f>'Параметры Расходы'!H25</f>
        <v>103463.18954999998</v>
      </c>
      <c r="I26" s="103">
        <f>'Параметры Расходы'!I25</f>
        <v>103463.18954999998</v>
      </c>
      <c r="J26" s="101">
        <f>'Параметры Расходы'!J25</f>
        <v>103463.18954999998</v>
      </c>
      <c r="K26" s="102">
        <f>'Параметры Расходы'!K25</f>
        <v>103463.18954999998</v>
      </c>
      <c r="L26" s="102">
        <f>'Параметры Расходы'!L25</f>
        <v>103463.18954999998</v>
      </c>
      <c r="M26" s="103">
        <f>'Параметры Расходы'!M25</f>
        <v>103463.18954999998</v>
      </c>
      <c r="N26" s="101">
        <f>'Параметры Расходы'!N25</f>
        <v>103463.18954999998</v>
      </c>
      <c r="O26" s="102">
        <f>'Параметры Расходы'!O25</f>
        <v>103463.18954999998</v>
      </c>
      <c r="P26" s="102">
        <f>'Параметры Расходы'!P25</f>
        <v>103463.18954999998</v>
      </c>
      <c r="Q26" s="103">
        <f>'Параметры Расходы'!Q25</f>
        <v>103463.18954999998</v>
      </c>
      <c r="R26" s="101">
        <f>'Параметры Расходы'!R25</f>
        <v>103463.18954999998</v>
      </c>
      <c r="S26" s="102">
        <f>'Параметры Расходы'!S25</f>
        <v>103463.18954999998</v>
      </c>
      <c r="T26" s="102">
        <f>'Параметры Расходы'!T25</f>
        <v>103463.18954999998</v>
      </c>
      <c r="U26" s="103">
        <f>'Параметры Расходы'!U25</f>
        <v>103463.18954999998</v>
      </c>
      <c r="V26" s="101">
        <f>'Параметры Расходы'!V25</f>
        <v>103463.18954999998</v>
      </c>
      <c r="W26" s="102">
        <f>'Параметры Расходы'!W25</f>
        <v>103463.18954999998</v>
      </c>
      <c r="X26" s="102">
        <f>'Параметры Расходы'!X25</f>
        <v>103463.18954999998</v>
      </c>
      <c r="Y26" s="103">
        <f>'Параметры Расходы'!Y25</f>
        <v>103463.18954999998</v>
      </c>
      <c r="Z26" s="102">
        <f t="shared" si="1"/>
        <v>1995258.870696875</v>
      </c>
    </row>
    <row r="27" spans="1:26" s="112" customFormat="1" ht="12.75" x14ac:dyDescent="0.2">
      <c r="A27" s="111" t="s">
        <v>129</v>
      </c>
      <c r="F27" s="101">
        <f>'Параметры финансирование'!F28</f>
        <v>0</v>
      </c>
      <c r="G27" s="102">
        <f>'Параметры финансирование'!G28</f>
        <v>0</v>
      </c>
      <c r="H27" s="102">
        <f>'Параметры финансирование'!H28</f>
        <v>0</v>
      </c>
      <c r="I27" s="103">
        <f>'Параметры финансирование'!I28</f>
        <v>0</v>
      </c>
      <c r="J27" s="101">
        <f>'Параметры финансирование'!J28</f>
        <v>0</v>
      </c>
      <c r="K27" s="102">
        <f>'Параметры финансирование'!K28</f>
        <v>0</v>
      </c>
      <c r="L27" s="102">
        <f>'Параметры финансирование'!L28</f>
        <v>0</v>
      </c>
      <c r="M27" s="103">
        <f>'Параметры финансирование'!M28</f>
        <v>0</v>
      </c>
      <c r="N27" s="101">
        <f>'Параметры финансирование'!N28</f>
        <v>0</v>
      </c>
      <c r="O27" s="102">
        <f>'Параметры финансирование'!O28</f>
        <v>0</v>
      </c>
      <c r="P27" s="102">
        <f>'Параметры финансирование'!P28</f>
        <v>0</v>
      </c>
      <c r="Q27" s="103">
        <f>'Параметры финансирование'!Q28</f>
        <v>0</v>
      </c>
      <c r="R27" s="101">
        <f>'Параметры финансирование'!R28</f>
        <v>0</v>
      </c>
      <c r="S27" s="102">
        <f>'Параметры финансирование'!S28</f>
        <v>0</v>
      </c>
      <c r="T27" s="102">
        <f>'Параметры финансирование'!T28</f>
        <v>0</v>
      </c>
      <c r="U27" s="103">
        <f>'Параметры финансирование'!U28</f>
        <v>0</v>
      </c>
      <c r="V27" s="101">
        <f>'Параметры финансирование'!V28</f>
        <v>0</v>
      </c>
      <c r="W27" s="102">
        <f>'Параметры финансирование'!W28</f>
        <v>0</v>
      </c>
      <c r="X27" s="102">
        <f>'Параметры финансирование'!X28</f>
        <v>0</v>
      </c>
      <c r="Y27" s="103">
        <f>'Параметры финансирование'!Y28</f>
        <v>0</v>
      </c>
      <c r="Z27" s="102">
        <f t="shared" si="1"/>
        <v>0</v>
      </c>
    </row>
    <row r="28" spans="1:26" s="112" customFormat="1" ht="15" x14ac:dyDescent="0.25">
      <c r="A28" s="111" t="s">
        <v>133</v>
      </c>
      <c r="F28" s="101">
        <f>'Параметы Налоги'!F9</f>
        <v>-836381.37885260396</v>
      </c>
      <c r="G28" s="102">
        <f>'Параметы Налоги'!G9</f>
        <v>231164.60421770721</v>
      </c>
      <c r="H28" s="102">
        <f>'Параметы Налоги'!H9</f>
        <v>611100.56277499942</v>
      </c>
      <c r="I28" s="103">
        <f>'Параметы Налоги'!I9</f>
        <v>1673439.3959100014</v>
      </c>
      <c r="J28" s="101">
        <f>'Параметы Налоги'!J9</f>
        <v>2792306.3473300016</v>
      </c>
      <c r="K28" s="102">
        <f>'Параметы Налоги'!K9</f>
        <v>3911173.298750001</v>
      </c>
      <c r="L28" s="102">
        <f>'Параметы Налоги'!L9</f>
        <v>3900678.8501700005</v>
      </c>
      <c r="M28" s="103">
        <f>'Параметы Налоги'!M9</f>
        <v>3890184.4015900008</v>
      </c>
      <c r="N28" s="101">
        <f>'Параметы Налоги'!N9</f>
        <v>3879689.9530100008</v>
      </c>
      <c r="O28" s="102">
        <f>'Параметы Налоги'!O9</f>
        <v>3869195.5044300007</v>
      </c>
      <c r="P28" s="102">
        <f>'Параметы Налоги'!P9</f>
        <v>4157791.5558500011</v>
      </c>
      <c r="Q28" s="103">
        <f>'Параметы Налоги'!Q9</f>
        <v>4162822.4182700007</v>
      </c>
      <c r="R28" s="101">
        <f>'Параметы Налоги'!R9</f>
        <v>4159104.7577300007</v>
      </c>
      <c r="S28" s="102">
        <f>'Параметы Налоги'!S9</f>
        <v>4155387.097190001</v>
      </c>
      <c r="T28" s="102">
        <f>'Параметы Налоги'!T9</f>
        <v>4151669.436650001</v>
      </c>
      <c r="U28" s="103">
        <f>'Параметы Налоги'!U9</f>
        <v>4147951.7761100009</v>
      </c>
      <c r="V28" s="101">
        <f>'Параметы Налоги'!V9</f>
        <v>4144234.1155700013</v>
      </c>
      <c r="W28" s="102">
        <f>'Параметы Налоги'!W9</f>
        <v>4140516.4550300008</v>
      </c>
      <c r="X28" s="102">
        <f>'Параметы Налоги'!X9</f>
        <v>4136798.7944900012</v>
      </c>
      <c r="Y28" s="103">
        <f>'Параметы Налоги'!Y9</f>
        <v>4133081.1339500006</v>
      </c>
      <c r="Z28" s="13">
        <f t="shared" si="1"/>
        <v>65411909.080170117</v>
      </c>
    </row>
    <row r="29" spans="1:26" s="9" customFormat="1" ht="15" x14ac:dyDescent="0.25">
      <c r="A29" s="9" t="s">
        <v>199</v>
      </c>
      <c r="F29" s="14">
        <f>F5-F9</f>
        <v>-5143647.2782630194</v>
      </c>
      <c r="G29" s="13">
        <f t="shared" ref="G29:Y29" si="5">G5-G9</f>
        <v>690807.6114385426</v>
      </c>
      <c r="H29" s="13">
        <f t="shared" si="5"/>
        <v>2102461.3585750014</v>
      </c>
      <c r="I29" s="15">
        <f t="shared" si="5"/>
        <v>4428206.725440003</v>
      </c>
      <c r="J29" s="14">
        <f t="shared" si="5"/>
        <v>6697423.9740200043</v>
      </c>
      <c r="K29" s="13">
        <f t="shared" si="5"/>
        <v>8966641.2226000056</v>
      </c>
      <c r="L29" s="13">
        <f t="shared" si="5"/>
        <v>8977135.6711800024</v>
      </c>
      <c r="M29" s="15">
        <f t="shared" si="5"/>
        <v>8987630.1197600067</v>
      </c>
      <c r="N29" s="14">
        <f t="shared" si="5"/>
        <v>8998124.5683400035</v>
      </c>
      <c r="O29" s="13">
        <f t="shared" si="5"/>
        <v>9008619.0169200003</v>
      </c>
      <c r="P29" s="13">
        <f t="shared" si="5"/>
        <v>8720022.9655000046</v>
      </c>
      <c r="Q29" s="15">
        <f t="shared" si="5"/>
        <v>8714992.1030800045</v>
      </c>
      <c r="R29" s="14">
        <f t="shared" si="5"/>
        <v>8718709.7636200041</v>
      </c>
      <c r="S29" s="13">
        <f t="shared" si="5"/>
        <v>8722427.4241600037</v>
      </c>
      <c r="T29" s="13">
        <f t="shared" si="5"/>
        <v>8726145.0847000033</v>
      </c>
      <c r="U29" s="15">
        <f t="shared" si="5"/>
        <v>8729862.7452400029</v>
      </c>
      <c r="V29" s="14">
        <f t="shared" si="5"/>
        <v>8733580.4057800025</v>
      </c>
      <c r="W29" s="13">
        <f t="shared" si="5"/>
        <v>8737298.0663200021</v>
      </c>
      <c r="X29" s="13">
        <f t="shared" si="5"/>
        <v>8741015.7268600017</v>
      </c>
      <c r="Y29" s="15">
        <f t="shared" si="5"/>
        <v>8744733.3874000013</v>
      </c>
      <c r="Z29" s="13">
        <f t="shared" si="1"/>
        <v>141002190.66267058</v>
      </c>
    </row>
    <row r="30" spans="1:26" s="3" customFormat="1" x14ac:dyDescent="0.2">
      <c r="F30" s="7"/>
      <c r="I30" s="8"/>
      <c r="J30" s="7"/>
      <c r="M30" s="8"/>
      <c r="N30" s="7"/>
      <c r="Q30" s="8"/>
      <c r="R30" s="7"/>
      <c r="U30" s="8"/>
      <c r="V30" s="7"/>
      <c r="Y30" s="8"/>
      <c r="Z30" s="10"/>
    </row>
    <row r="31" spans="1:26" s="3" customFormat="1" ht="15.75" x14ac:dyDescent="0.25">
      <c r="A31" s="109" t="s">
        <v>200</v>
      </c>
      <c r="F31" s="7"/>
      <c r="I31" s="8"/>
      <c r="J31" s="7"/>
      <c r="M31" s="8"/>
      <c r="N31" s="7"/>
      <c r="Q31" s="8"/>
      <c r="R31" s="7"/>
      <c r="U31" s="8"/>
      <c r="V31" s="7"/>
      <c r="Y31" s="8"/>
      <c r="Z31" s="10" t="str">
        <f>Z4</f>
        <v>Итого</v>
      </c>
    </row>
    <row r="32" spans="1:26" s="9" customFormat="1" ht="15" x14ac:dyDescent="0.25">
      <c r="A32" s="9" t="s">
        <v>201</v>
      </c>
      <c r="F32" s="14">
        <f>'Параметры финансирование'!F23+'Параметры финансирование'!F24</f>
        <v>83017109.636688009</v>
      </c>
      <c r="G32" s="13">
        <f>'Параметры финансирование'!G23+'Параметры финансирование'!G24</f>
        <v>0</v>
      </c>
      <c r="H32" s="13">
        <f>'Параметры финансирование'!H23+'Параметры финансирование'!H24</f>
        <v>0</v>
      </c>
      <c r="I32" s="15">
        <f>'Параметры финансирование'!I23+'Параметры финансирование'!I24</f>
        <v>0</v>
      </c>
      <c r="J32" s="14">
        <f>'Параметры финансирование'!J23+'Параметры финансирование'!J24</f>
        <v>0</v>
      </c>
      <c r="K32" s="13">
        <f>'Параметры финансирование'!K23+'Параметры финансирование'!K24</f>
        <v>0</v>
      </c>
      <c r="L32" s="13">
        <f>'Параметры финансирование'!L23+'Параметры финансирование'!L24</f>
        <v>0</v>
      </c>
      <c r="M32" s="15">
        <f>'Параметры финансирование'!M23+'Параметры финансирование'!M24</f>
        <v>0</v>
      </c>
      <c r="N32" s="14">
        <f>'Параметры финансирование'!N23+'Параметры финансирование'!N24</f>
        <v>0</v>
      </c>
      <c r="O32" s="13">
        <f>'Параметры финансирование'!O23+'Параметры финансирование'!O24</f>
        <v>0</v>
      </c>
      <c r="P32" s="13">
        <f>'Параметры финансирование'!P23+'Параметры финансирование'!P24</f>
        <v>0</v>
      </c>
      <c r="Q32" s="15">
        <f>'Параметры финансирование'!Q23+'Параметры финансирование'!Q24</f>
        <v>0</v>
      </c>
      <c r="R32" s="14">
        <f>'Параметры финансирование'!R23+'Параметры финансирование'!R24</f>
        <v>0</v>
      </c>
      <c r="S32" s="13">
        <f>'Параметры финансирование'!S23+'Параметры финансирование'!S24</f>
        <v>0</v>
      </c>
      <c r="T32" s="13">
        <f>'Параметры финансирование'!T23+'Параметры финансирование'!T24</f>
        <v>0</v>
      </c>
      <c r="U32" s="15">
        <f>'Параметры финансирование'!U23+'Параметры финансирование'!U24</f>
        <v>0</v>
      </c>
      <c r="V32" s="14">
        <f>'Параметры финансирование'!V23+'Параметры финансирование'!V24</f>
        <v>0</v>
      </c>
      <c r="W32" s="13">
        <f>'Параметры финансирование'!W23+'Параметры финансирование'!W24</f>
        <v>0</v>
      </c>
      <c r="X32" s="13">
        <f>'Параметры финансирование'!X23+'Параметры финансирование'!X24</f>
        <v>0</v>
      </c>
      <c r="Y32" s="15">
        <f>'Параметры финансирование'!Y23+'Параметры финансирование'!Y24</f>
        <v>0</v>
      </c>
      <c r="Z32" s="13">
        <f t="shared" si="1"/>
        <v>83017109.636688009</v>
      </c>
    </row>
    <row r="33" spans="1:31" s="9" customFormat="1" ht="14.25" customHeight="1" x14ac:dyDescent="0.25">
      <c r="A33" s="9" t="s">
        <v>202</v>
      </c>
      <c r="F33" s="14">
        <f>SUM(F34:F42)</f>
        <v>39711070.189606249</v>
      </c>
      <c r="G33" s="13">
        <f>SUM(G34:G42)</f>
        <v>38162392.168818742</v>
      </c>
      <c r="H33" s="13">
        <f t="shared" ref="H33:Y33" si="6">SUM(H34:H42)</f>
        <v>0</v>
      </c>
      <c r="I33" s="15">
        <f t="shared" si="6"/>
        <v>0</v>
      </c>
      <c r="J33" s="14">
        <f t="shared" si="6"/>
        <v>0</v>
      </c>
      <c r="K33" s="13">
        <f t="shared" si="6"/>
        <v>0</v>
      </c>
      <c r="L33" s="13">
        <f t="shared" si="6"/>
        <v>0</v>
      </c>
      <c r="M33" s="15">
        <f t="shared" si="6"/>
        <v>0</v>
      </c>
      <c r="N33" s="14">
        <f t="shared" si="6"/>
        <v>0</v>
      </c>
      <c r="O33" s="13">
        <f t="shared" si="6"/>
        <v>0</v>
      </c>
      <c r="P33" s="13">
        <f t="shared" si="6"/>
        <v>0</v>
      </c>
      <c r="Q33" s="15">
        <f t="shared" si="6"/>
        <v>0</v>
      </c>
      <c r="R33" s="14">
        <f t="shared" si="6"/>
        <v>0</v>
      </c>
      <c r="S33" s="13">
        <f t="shared" si="6"/>
        <v>0</v>
      </c>
      <c r="T33" s="13">
        <f t="shared" si="6"/>
        <v>0</v>
      </c>
      <c r="U33" s="15">
        <f t="shared" si="6"/>
        <v>0</v>
      </c>
      <c r="V33" s="14">
        <f t="shared" si="6"/>
        <v>0</v>
      </c>
      <c r="W33" s="13">
        <f t="shared" si="6"/>
        <v>0</v>
      </c>
      <c r="X33" s="13">
        <f t="shared" si="6"/>
        <v>0</v>
      </c>
      <c r="Y33" s="15">
        <f t="shared" si="6"/>
        <v>0</v>
      </c>
      <c r="Z33" s="13">
        <f>SUM(F33:Y33)</f>
        <v>77873462.358424991</v>
      </c>
    </row>
    <row r="34" spans="1:31" s="112" customFormat="1" ht="12.75" x14ac:dyDescent="0.2">
      <c r="A34" s="115" t="str">
        <f>'Параметры инвестиции'!A5</f>
        <v>Депозит по аренде цеха на 6 месяцев</v>
      </c>
      <c r="B34" s="115"/>
      <c r="C34" s="115"/>
      <c r="D34" s="115"/>
      <c r="E34" s="115"/>
      <c r="F34" s="107">
        <f>SUM('Параметры инвестиции'!C5:E5)</f>
        <v>3156600</v>
      </c>
      <c r="G34" s="108">
        <f>SUM('Параметры инвестиции'!F5:H5)</f>
        <v>0</v>
      </c>
      <c r="H34" s="102">
        <v>0</v>
      </c>
      <c r="I34" s="103">
        <v>0</v>
      </c>
      <c r="J34" s="107">
        <v>0</v>
      </c>
      <c r="K34" s="108">
        <v>0</v>
      </c>
      <c r="L34" s="102">
        <v>0</v>
      </c>
      <c r="M34" s="103">
        <v>0</v>
      </c>
      <c r="N34" s="107">
        <v>0</v>
      </c>
      <c r="O34" s="108">
        <v>0</v>
      </c>
      <c r="P34" s="102">
        <v>0</v>
      </c>
      <c r="Q34" s="103">
        <v>0</v>
      </c>
      <c r="R34" s="107">
        <v>0</v>
      </c>
      <c r="S34" s="108">
        <v>0</v>
      </c>
      <c r="T34" s="102">
        <v>0</v>
      </c>
      <c r="U34" s="103">
        <v>0</v>
      </c>
      <c r="V34" s="107">
        <v>0</v>
      </c>
      <c r="W34" s="108">
        <v>0</v>
      </c>
      <c r="X34" s="102">
        <v>0</v>
      </c>
      <c r="Y34" s="103">
        <v>0</v>
      </c>
      <c r="Z34" s="102">
        <f t="shared" si="1"/>
        <v>3156600</v>
      </c>
    </row>
    <row r="35" spans="1:31" s="112" customFormat="1" ht="12.75" x14ac:dyDescent="0.2">
      <c r="A35" s="115" t="str">
        <f>'Параметры инвестиции'!A6</f>
        <v>Депозит по аренде офиса на 3 месяца</v>
      </c>
      <c r="B35" s="115"/>
      <c r="C35" s="115"/>
      <c r="D35" s="115"/>
      <c r="E35" s="115"/>
      <c r="F35" s="107">
        <f>SUM('Параметры инвестиции'!C6:E6)</f>
        <v>241857</v>
      </c>
      <c r="G35" s="108">
        <f>SUM('Параметры инвестиции'!F6:H6)</f>
        <v>0</v>
      </c>
      <c r="H35" s="102">
        <v>0</v>
      </c>
      <c r="I35" s="103">
        <v>0</v>
      </c>
      <c r="J35" s="107">
        <v>0</v>
      </c>
      <c r="K35" s="108">
        <v>0</v>
      </c>
      <c r="L35" s="102">
        <v>0</v>
      </c>
      <c r="M35" s="103">
        <v>0</v>
      </c>
      <c r="N35" s="107">
        <v>0</v>
      </c>
      <c r="O35" s="108">
        <v>0</v>
      </c>
      <c r="P35" s="102">
        <v>0</v>
      </c>
      <c r="Q35" s="103">
        <v>0</v>
      </c>
      <c r="R35" s="107">
        <v>0</v>
      </c>
      <c r="S35" s="108">
        <v>0</v>
      </c>
      <c r="T35" s="102">
        <v>0</v>
      </c>
      <c r="U35" s="103">
        <v>0</v>
      </c>
      <c r="V35" s="107">
        <v>0</v>
      </c>
      <c r="W35" s="108">
        <v>0</v>
      </c>
      <c r="X35" s="102">
        <v>0</v>
      </c>
      <c r="Y35" s="103">
        <v>0</v>
      </c>
      <c r="Z35" s="102">
        <f t="shared" si="1"/>
        <v>241857</v>
      </c>
    </row>
    <row r="36" spans="1:31" s="112" customFormat="1" ht="12.75" x14ac:dyDescent="0.2">
      <c r="A36" s="115" t="str">
        <f>'Параметры инвестиции'!A7</f>
        <v>Расчет инвестиций в цех (оборудование, инструмент, мебель)</v>
      </c>
      <c r="B36" s="115"/>
      <c r="C36" s="115"/>
      <c r="D36" s="115"/>
      <c r="E36" s="115"/>
      <c r="F36" s="107">
        <f>SUM('Параметры инвестиции'!C7:E7)</f>
        <v>14954525</v>
      </c>
      <c r="G36" s="108">
        <f>SUM('Параметры инвестиции'!F7:H7)</f>
        <v>0</v>
      </c>
      <c r="H36" s="102">
        <v>0</v>
      </c>
      <c r="I36" s="103">
        <v>0</v>
      </c>
      <c r="J36" s="107">
        <v>0</v>
      </c>
      <c r="K36" s="108">
        <v>0</v>
      </c>
      <c r="L36" s="102">
        <v>0</v>
      </c>
      <c r="M36" s="103">
        <v>0</v>
      </c>
      <c r="N36" s="107">
        <v>0</v>
      </c>
      <c r="O36" s="108">
        <v>0</v>
      </c>
      <c r="P36" s="102">
        <v>0</v>
      </c>
      <c r="Q36" s="103">
        <v>0</v>
      </c>
      <c r="R36" s="107">
        <v>0</v>
      </c>
      <c r="S36" s="108">
        <v>0</v>
      </c>
      <c r="T36" s="102">
        <v>0</v>
      </c>
      <c r="U36" s="103">
        <v>0</v>
      </c>
      <c r="V36" s="107">
        <v>0</v>
      </c>
      <c r="W36" s="108">
        <v>0</v>
      </c>
      <c r="X36" s="102">
        <v>0</v>
      </c>
      <c r="Y36" s="103">
        <v>0</v>
      </c>
      <c r="Z36" s="102">
        <f t="shared" si="1"/>
        <v>14954525</v>
      </c>
    </row>
    <row r="37" spans="1:31" s="112" customFormat="1" ht="12.75" x14ac:dyDescent="0.2">
      <c r="A37" s="115" t="str">
        <f>'Параметры инвестиции'!A8</f>
        <v>Покупка автотранспортных средств</v>
      </c>
      <c r="B37" s="115"/>
      <c r="C37" s="115"/>
      <c r="D37" s="115"/>
      <c r="E37" s="115"/>
      <c r="F37" s="107">
        <f>SUM('Параметры инвестиции'!C8:E8)</f>
        <v>6750000</v>
      </c>
      <c r="G37" s="108">
        <f>SUM('Параметры инвестиции'!F8:H8)</f>
        <v>6750000</v>
      </c>
      <c r="H37" s="102">
        <v>0</v>
      </c>
      <c r="I37" s="103">
        <v>0</v>
      </c>
      <c r="J37" s="107">
        <v>0</v>
      </c>
      <c r="K37" s="108">
        <v>0</v>
      </c>
      <c r="L37" s="102">
        <v>0</v>
      </c>
      <c r="M37" s="103">
        <v>0</v>
      </c>
      <c r="N37" s="107">
        <v>0</v>
      </c>
      <c r="O37" s="108">
        <v>0</v>
      </c>
      <c r="P37" s="102">
        <v>0</v>
      </c>
      <c r="Q37" s="103">
        <v>0</v>
      </c>
      <c r="R37" s="107">
        <v>0</v>
      </c>
      <c r="S37" s="108">
        <v>0</v>
      </c>
      <c r="T37" s="102">
        <v>0</v>
      </c>
      <c r="U37" s="103">
        <v>0</v>
      </c>
      <c r="V37" s="107">
        <v>0</v>
      </c>
      <c r="W37" s="108">
        <v>0</v>
      </c>
      <c r="X37" s="102">
        <v>0</v>
      </c>
      <c r="Y37" s="103">
        <v>0</v>
      </c>
      <c r="Z37" s="102">
        <f t="shared" si="1"/>
        <v>13500000</v>
      </c>
    </row>
    <row r="38" spans="1:31" s="112" customFormat="1" ht="12.75" x14ac:dyDescent="0.2">
      <c r="A38" s="115" t="str">
        <f>'Параметры инвестиции'!A9</f>
        <v>Расчет инвестиций в офис (мебель и оргтехника)</v>
      </c>
      <c r="B38" s="115"/>
      <c r="C38" s="115"/>
      <c r="D38" s="115"/>
      <c r="E38" s="115"/>
      <c r="F38" s="107">
        <f>SUM('Параметры инвестиции'!C9:E9)</f>
        <v>447266</v>
      </c>
      <c r="G38" s="108">
        <f>SUM('Параметры инвестиции'!F9:H9)</f>
        <v>0</v>
      </c>
      <c r="H38" s="102">
        <v>0</v>
      </c>
      <c r="I38" s="103">
        <v>0</v>
      </c>
      <c r="J38" s="107">
        <v>0</v>
      </c>
      <c r="K38" s="108">
        <v>0</v>
      </c>
      <c r="L38" s="102">
        <v>0</v>
      </c>
      <c r="M38" s="103">
        <v>0</v>
      </c>
      <c r="N38" s="107">
        <v>0</v>
      </c>
      <c r="O38" s="108">
        <v>0</v>
      </c>
      <c r="P38" s="102">
        <v>0</v>
      </c>
      <c r="Q38" s="103">
        <v>0</v>
      </c>
      <c r="R38" s="107">
        <v>0</v>
      </c>
      <c r="S38" s="108">
        <v>0</v>
      </c>
      <c r="T38" s="102">
        <v>0</v>
      </c>
      <c r="U38" s="103">
        <v>0</v>
      </c>
      <c r="V38" s="107">
        <v>0</v>
      </c>
      <c r="W38" s="108">
        <v>0</v>
      </c>
      <c r="X38" s="102">
        <v>0</v>
      </c>
      <c r="Y38" s="103">
        <v>0</v>
      </c>
      <c r="Z38" s="102">
        <f t="shared" si="1"/>
        <v>447266</v>
      </c>
      <c r="AE38" s="102"/>
    </row>
    <row r="39" spans="1:31" s="112" customFormat="1" ht="12.75" x14ac:dyDescent="0.2">
      <c r="A39" s="115" t="str">
        <f>'Параметры инвестиции'!A10</f>
        <v>Подготовительные работы</v>
      </c>
      <c r="B39" s="115"/>
      <c r="C39" s="115"/>
      <c r="D39" s="115"/>
      <c r="E39" s="115"/>
      <c r="F39" s="107">
        <f>SUM('Параметры инвестиции'!C10:E10)</f>
        <v>150000</v>
      </c>
      <c r="G39" s="108">
        <f>SUM('Параметры инвестиции'!F10:H10)</f>
        <v>150000</v>
      </c>
      <c r="H39" s="102">
        <v>0</v>
      </c>
      <c r="I39" s="103">
        <v>0</v>
      </c>
      <c r="J39" s="107">
        <v>0</v>
      </c>
      <c r="K39" s="108">
        <v>0</v>
      </c>
      <c r="L39" s="102">
        <v>0</v>
      </c>
      <c r="M39" s="103">
        <v>0</v>
      </c>
      <c r="N39" s="107">
        <v>0</v>
      </c>
      <c r="O39" s="108">
        <v>0</v>
      </c>
      <c r="P39" s="102">
        <v>0</v>
      </c>
      <c r="Q39" s="103">
        <v>0</v>
      </c>
      <c r="R39" s="107">
        <v>0</v>
      </c>
      <c r="S39" s="108">
        <v>0</v>
      </c>
      <c r="T39" s="102">
        <v>0</v>
      </c>
      <c r="U39" s="103">
        <v>0</v>
      </c>
      <c r="V39" s="107">
        <v>0</v>
      </c>
      <c r="W39" s="108">
        <v>0</v>
      </c>
      <c r="X39" s="102">
        <v>0</v>
      </c>
      <c r="Y39" s="103">
        <v>0</v>
      </c>
      <c r="Z39" s="102">
        <f t="shared" si="1"/>
        <v>300000</v>
      </c>
    </row>
    <row r="40" spans="1:31" s="112" customFormat="1" ht="12.75" x14ac:dyDescent="0.2">
      <c r="A40" s="115" t="str">
        <f>'Параметры инвестиции'!A11</f>
        <v>Маркетинг и реклама</v>
      </c>
      <c r="B40" s="115"/>
      <c r="C40" s="115"/>
      <c r="D40" s="115"/>
      <c r="E40" s="115"/>
      <c r="F40" s="107">
        <f>SUM('Параметры инвестиции'!C11:E11)</f>
        <v>300000</v>
      </c>
      <c r="G40" s="108">
        <f>SUM('Параметры инвестиции'!F11:H11)</f>
        <v>0</v>
      </c>
      <c r="H40" s="102">
        <v>0</v>
      </c>
      <c r="I40" s="103">
        <v>0</v>
      </c>
      <c r="J40" s="107">
        <v>0</v>
      </c>
      <c r="K40" s="108">
        <v>0</v>
      </c>
      <c r="L40" s="102">
        <v>0</v>
      </c>
      <c r="M40" s="103">
        <v>0</v>
      </c>
      <c r="N40" s="107">
        <v>0</v>
      </c>
      <c r="O40" s="108">
        <v>0</v>
      </c>
      <c r="P40" s="102">
        <v>0</v>
      </c>
      <c r="Q40" s="103">
        <v>0</v>
      </c>
      <c r="R40" s="107">
        <v>0</v>
      </c>
      <c r="S40" s="108">
        <v>0</v>
      </c>
      <c r="T40" s="102">
        <v>0</v>
      </c>
      <c r="U40" s="103">
        <v>0</v>
      </c>
      <c r="V40" s="107">
        <v>0</v>
      </c>
      <c r="W40" s="108">
        <v>0</v>
      </c>
      <c r="X40" s="102">
        <v>0</v>
      </c>
      <c r="Y40" s="103">
        <v>0</v>
      </c>
      <c r="Z40" s="102">
        <f t="shared" si="1"/>
        <v>300000</v>
      </c>
    </row>
    <row r="41" spans="1:31" s="112" customFormat="1" ht="12.75" x14ac:dyDescent="0.2">
      <c r="A41" s="115" t="str">
        <f>'Параметры инвестиции'!A12</f>
        <v>Прочие, 10% от инвестиций выше</v>
      </c>
      <c r="B41" s="115"/>
      <c r="C41" s="115"/>
      <c r="D41" s="115"/>
      <c r="E41" s="115"/>
      <c r="F41" s="107">
        <f>SUM('Параметры инвестиции'!C12:E12)</f>
        <v>3290024.8000000003</v>
      </c>
      <c r="G41" s="108">
        <f>SUM('Параметры инвестиции'!F12:H12)</f>
        <v>0</v>
      </c>
      <c r="H41" s="102">
        <v>0</v>
      </c>
      <c r="I41" s="103">
        <v>0</v>
      </c>
      <c r="J41" s="107">
        <v>0</v>
      </c>
      <c r="K41" s="108">
        <v>0</v>
      </c>
      <c r="L41" s="102">
        <v>0</v>
      </c>
      <c r="M41" s="103">
        <v>0</v>
      </c>
      <c r="N41" s="107">
        <v>0</v>
      </c>
      <c r="O41" s="108">
        <v>0</v>
      </c>
      <c r="P41" s="102">
        <v>0</v>
      </c>
      <c r="Q41" s="103">
        <v>0</v>
      </c>
      <c r="R41" s="107">
        <v>0</v>
      </c>
      <c r="S41" s="108">
        <v>0</v>
      </c>
      <c r="T41" s="102">
        <v>0</v>
      </c>
      <c r="U41" s="103">
        <v>0</v>
      </c>
      <c r="V41" s="107">
        <v>0</v>
      </c>
      <c r="W41" s="108">
        <v>0</v>
      </c>
      <c r="X41" s="102">
        <v>0</v>
      </c>
      <c r="Y41" s="103">
        <v>0</v>
      </c>
      <c r="Z41" s="102">
        <f t="shared" si="1"/>
        <v>3290024.8000000003</v>
      </c>
    </row>
    <row r="42" spans="1:31" s="112" customFormat="1" ht="12.75" x14ac:dyDescent="0.2">
      <c r="A42" s="115" t="str">
        <f>'Параметры инвестиции'!A13</f>
        <v>Оборотный капитал</v>
      </c>
      <c r="B42" s="115"/>
      <c r="C42" s="115"/>
      <c r="D42" s="115"/>
      <c r="E42" s="115"/>
      <c r="F42" s="107">
        <f>SUM('Параметры инвестиции'!C13:E13)</f>
        <v>10420797.389606249</v>
      </c>
      <c r="G42" s="108">
        <f>SUM('Параметры инвестиции'!F13:H13)</f>
        <v>31262392.168818746</v>
      </c>
      <c r="H42" s="102">
        <v>0</v>
      </c>
      <c r="I42" s="103">
        <v>0</v>
      </c>
      <c r="J42" s="107">
        <v>0</v>
      </c>
      <c r="K42" s="108">
        <v>0</v>
      </c>
      <c r="L42" s="102">
        <v>0</v>
      </c>
      <c r="M42" s="103">
        <v>0</v>
      </c>
      <c r="N42" s="107">
        <v>0</v>
      </c>
      <c r="O42" s="108">
        <v>0</v>
      </c>
      <c r="P42" s="102">
        <v>0</v>
      </c>
      <c r="Q42" s="103">
        <v>0</v>
      </c>
      <c r="R42" s="107">
        <v>0</v>
      </c>
      <c r="S42" s="108">
        <v>0</v>
      </c>
      <c r="T42" s="102">
        <v>0</v>
      </c>
      <c r="U42" s="103">
        <v>0</v>
      </c>
      <c r="V42" s="107">
        <v>0</v>
      </c>
      <c r="W42" s="108">
        <v>0</v>
      </c>
      <c r="X42" s="102">
        <v>0</v>
      </c>
      <c r="Y42" s="103">
        <v>0</v>
      </c>
      <c r="Z42" s="102">
        <f t="shared" si="1"/>
        <v>41683189.558424994</v>
      </c>
    </row>
    <row r="43" spans="1:31" s="9" customFormat="1" ht="15" x14ac:dyDescent="0.25">
      <c r="A43" s="9" t="s">
        <v>203</v>
      </c>
      <c r="F43" s="14">
        <f>F32-F33</f>
        <v>43306039.44708176</v>
      </c>
      <c r="G43" s="13">
        <f>G32-G33</f>
        <v>-38162392.168818742</v>
      </c>
      <c r="H43" s="13">
        <f t="shared" ref="H43:Y43" si="7">H32-H33</f>
        <v>0</v>
      </c>
      <c r="I43" s="15">
        <f t="shared" si="7"/>
        <v>0</v>
      </c>
      <c r="J43" s="14">
        <f t="shared" si="7"/>
        <v>0</v>
      </c>
      <c r="K43" s="13">
        <f t="shared" si="7"/>
        <v>0</v>
      </c>
      <c r="L43" s="13">
        <f t="shared" si="7"/>
        <v>0</v>
      </c>
      <c r="M43" s="15">
        <f t="shared" si="7"/>
        <v>0</v>
      </c>
      <c r="N43" s="14">
        <f t="shared" si="7"/>
        <v>0</v>
      </c>
      <c r="O43" s="13">
        <f t="shared" si="7"/>
        <v>0</v>
      </c>
      <c r="P43" s="13">
        <f t="shared" si="7"/>
        <v>0</v>
      </c>
      <c r="Q43" s="15">
        <f t="shared" si="7"/>
        <v>0</v>
      </c>
      <c r="R43" s="14">
        <f t="shared" si="7"/>
        <v>0</v>
      </c>
      <c r="S43" s="13">
        <f t="shared" si="7"/>
        <v>0</v>
      </c>
      <c r="T43" s="13">
        <f t="shared" si="7"/>
        <v>0</v>
      </c>
      <c r="U43" s="15">
        <f t="shared" si="7"/>
        <v>0</v>
      </c>
      <c r="V43" s="14">
        <f t="shared" si="7"/>
        <v>0</v>
      </c>
      <c r="W43" s="13">
        <f t="shared" si="7"/>
        <v>0</v>
      </c>
      <c r="X43" s="13">
        <f t="shared" si="7"/>
        <v>0</v>
      </c>
      <c r="Y43" s="15">
        <f t="shared" si="7"/>
        <v>0</v>
      </c>
      <c r="Z43" s="13">
        <f t="shared" si="1"/>
        <v>5143647.2782630175</v>
      </c>
    </row>
    <row r="44" spans="1:31" s="3" customFormat="1" x14ac:dyDescent="0.2">
      <c r="F44" s="7"/>
      <c r="I44" s="8"/>
      <c r="J44" s="7"/>
      <c r="M44" s="8"/>
      <c r="N44" s="7"/>
      <c r="Q44" s="8"/>
      <c r="R44" s="7"/>
      <c r="U44" s="8"/>
      <c r="V44" s="7"/>
      <c r="Y44" s="8"/>
      <c r="Z44" s="10"/>
    </row>
    <row r="45" spans="1:31" s="3" customFormat="1" ht="15.75" x14ac:dyDescent="0.25">
      <c r="A45" s="109" t="s">
        <v>204</v>
      </c>
      <c r="F45" s="7"/>
      <c r="I45" s="8"/>
      <c r="J45" s="7"/>
      <c r="M45" s="8"/>
      <c r="N45" s="7"/>
      <c r="Q45" s="8"/>
      <c r="R45" s="7"/>
      <c r="U45" s="8"/>
      <c r="V45" s="7"/>
      <c r="Y45" s="8"/>
      <c r="Z45" s="10"/>
    </row>
    <row r="46" spans="1:31" s="112" customFormat="1" ht="12.75" x14ac:dyDescent="0.2">
      <c r="A46" s="112" t="s">
        <v>205</v>
      </c>
      <c r="F46" s="101">
        <f>'Параметры финансирование'!F25</f>
        <v>0</v>
      </c>
      <c r="G46" s="102">
        <f>'Параметры финансирование'!G25</f>
        <v>0</v>
      </c>
      <c r="H46" s="102">
        <f>'Параметры финансирование'!H25</f>
        <v>0</v>
      </c>
      <c r="I46" s="103">
        <f>'Параметры финансирование'!I25</f>
        <v>0</v>
      </c>
      <c r="J46" s="101">
        <f>'Параметры финансирование'!J25</f>
        <v>0</v>
      </c>
      <c r="K46" s="102">
        <f>'Параметры финансирование'!K25</f>
        <v>0</v>
      </c>
      <c r="L46" s="102">
        <f>'Параметры финансирование'!L25</f>
        <v>0</v>
      </c>
      <c r="M46" s="103">
        <f>'Параметры финансирование'!M25</f>
        <v>0</v>
      </c>
      <c r="N46" s="101">
        <f>'Параметры финансирование'!N25</f>
        <v>0</v>
      </c>
      <c r="O46" s="102">
        <f>'Параметры финансирование'!O25</f>
        <v>0</v>
      </c>
      <c r="P46" s="102">
        <f>'Параметры финансирование'!P25</f>
        <v>0</v>
      </c>
      <c r="Q46" s="103">
        <f>'Параметры финансирование'!Q25</f>
        <v>0</v>
      </c>
      <c r="R46" s="101">
        <f>'Параметры финансирование'!R25</f>
        <v>0</v>
      </c>
      <c r="S46" s="102">
        <f>'Параметры финансирование'!S25</f>
        <v>0</v>
      </c>
      <c r="T46" s="102">
        <f>'Параметры финансирование'!T25</f>
        <v>0</v>
      </c>
      <c r="U46" s="103">
        <f>'Параметры финансирование'!U25</f>
        <v>0</v>
      </c>
      <c r="V46" s="101">
        <f>'Параметры финансирование'!V25</f>
        <v>0</v>
      </c>
      <c r="W46" s="102">
        <f>'Параметры финансирование'!W25</f>
        <v>0</v>
      </c>
      <c r="X46" s="102">
        <f>'Параметры финансирование'!X25</f>
        <v>0</v>
      </c>
      <c r="Y46" s="103">
        <f>'Параметры финансирование'!Y25</f>
        <v>0</v>
      </c>
      <c r="Z46" s="102">
        <f t="shared" si="1"/>
        <v>0</v>
      </c>
    </row>
    <row r="47" spans="1:31" s="112" customFormat="1" ht="12.75" x14ac:dyDescent="0.2">
      <c r="A47" s="112" t="s">
        <v>128</v>
      </c>
      <c r="F47" s="101">
        <f>'Параметры финансирование'!F27</f>
        <v>0</v>
      </c>
      <c r="G47" s="102">
        <f>'Параметры финансирование'!G27</f>
        <v>0</v>
      </c>
      <c r="H47" s="102">
        <f>'Параметры финансирование'!H27</f>
        <v>0</v>
      </c>
      <c r="I47" s="103">
        <f>'Параметры финансирование'!I27</f>
        <v>0</v>
      </c>
      <c r="J47" s="101">
        <f>'Параметры финансирование'!J27</f>
        <v>0</v>
      </c>
      <c r="K47" s="102">
        <f>'Параметры финансирование'!K27</f>
        <v>0</v>
      </c>
      <c r="L47" s="102">
        <f>'Параметры финансирование'!L27</f>
        <v>0</v>
      </c>
      <c r="M47" s="103">
        <f>'Параметры финансирование'!M27</f>
        <v>0</v>
      </c>
      <c r="N47" s="101">
        <f>'Параметры финансирование'!N27</f>
        <v>0</v>
      </c>
      <c r="O47" s="102">
        <f>'Параметры финансирование'!O27</f>
        <v>0</v>
      </c>
      <c r="P47" s="102">
        <f>'Параметры финансирование'!P27</f>
        <v>0</v>
      </c>
      <c r="Q47" s="103">
        <f>'Параметры финансирование'!Q27</f>
        <v>0</v>
      </c>
      <c r="R47" s="101">
        <f>'Параметры финансирование'!R27</f>
        <v>0</v>
      </c>
      <c r="S47" s="102">
        <f>'Параметры финансирование'!S27</f>
        <v>0</v>
      </c>
      <c r="T47" s="102">
        <f>'Параметры финансирование'!T27</f>
        <v>0</v>
      </c>
      <c r="U47" s="103">
        <f>'Параметры финансирование'!U27</f>
        <v>0</v>
      </c>
      <c r="V47" s="101">
        <f>'Параметры финансирование'!V27</f>
        <v>0</v>
      </c>
      <c r="W47" s="102">
        <f>'Параметры финансирование'!W27</f>
        <v>0</v>
      </c>
      <c r="X47" s="102">
        <f>'Параметры финансирование'!X27</f>
        <v>0</v>
      </c>
      <c r="Y47" s="103">
        <f>'Параметры финансирование'!Y27</f>
        <v>0</v>
      </c>
      <c r="Z47" s="102">
        <f t="shared" si="1"/>
        <v>0</v>
      </c>
    </row>
    <row r="48" spans="1:31" s="9" customFormat="1" ht="15" x14ac:dyDescent="0.25">
      <c r="A48" s="9" t="s">
        <v>206</v>
      </c>
      <c r="F48" s="14">
        <f>F46-F47</f>
        <v>0</v>
      </c>
      <c r="G48" s="13">
        <f t="shared" ref="G48:Y48" si="8">G46-G47</f>
        <v>0</v>
      </c>
      <c r="H48" s="13">
        <f t="shared" si="8"/>
        <v>0</v>
      </c>
      <c r="I48" s="15">
        <f t="shared" si="8"/>
        <v>0</v>
      </c>
      <c r="J48" s="14">
        <f t="shared" si="8"/>
        <v>0</v>
      </c>
      <c r="K48" s="13">
        <f t="shared" si="8"/>
        <v>0</v>
      </c>
      <c r="L48" s="13">
        <f t="shared" si="8"/>
        <v>0</v>
      </c>
      <c r="M48" s="15">
        <f t="shared" si="8"/>
        <v>0</v>
      </c>
      <c r="N48" s="14">
        <f t="shared" si="8"/>
        <v>0</v>
      </c>
      <c r="O48" s="13">
        <f t="shared" si="8"/>
        <v>0</v>
      </c>
      <c r="P48" s="13">
        <f t="shared" si="8"/>
        <v>0</v>
      </c>
      <c r="Q48" s="15">
        <f t="shared" si="8"/>
        <v>0</v>
      </c>
      <c r="R48" s="14">
        <f t="shared" si="8"/>
        <v>0</v>
      </c>
      <c r="S48" s="13">
        <f t="shared" si="8"/>
        <v>0</v>
      </c>
      <c r="T48" s="13">
        <f t="shared" si="8"/>
        <v>0</v>
      </c>
      <c r="U48" s="15">
        <f t="shared" si="8"/>
        <v>0</v>
      </c>
      <c r="V48" s="14">
        <f t="shared" si="8"/>
        <v>0</v>
      </c>
      <c r="W48" s="13">
        <f t="shared" si="8"/>
        <v>0</v>
      </c>
      <c r="X48" s="13">
        <f t="shared" si="8"/>
        <v>0</v>
      </c>
      <c r="Y48" s="15">
        <f t="shared" si="8"/>
        <v>0</v>
      </c>
      <c r="Z48" s="13">
        <f>SUM(F48:Y48)</f>
        <v>0</v>
      </c>
    </row>
    <row r="49" spans="1:26" s="3" customFormat="1" x14ac:dyDescent="0.2">
      <c r="F49" s="7"/>
      <c r="I49" s="8"/>
      <c r="J49" s="7"/>
      <c r="M49" s="8"/>
      <c r="N49" s="7"/>
      <c r="Q49" s="8"/>
      <c r="R49" s="7"/>
      <c r="U49" s="8"/>
      <c r="V49" s="7"/>
      <c r="Y49" s="8"/>
      <c r="Z49" s="10" t="str">
        <f>Z31</f>
        <v>Итого</v>
      </c>
    </row>
    <row r="50" spans="1:26" s="9" customFormat="1" ht="15" x14ac:dyDescent="0.25">
      <c r="A50" s="9" t="s">
        <v>207</v>
      </c>
      <c r="F50" s="14">
        <f>F29+F43+F48</f>
        <v>38162392.168818742</v>
      </c>
      <c r="G50" s="13">
        <f t="shared" ref="G50:Y50" si="9">G29+G43+G48</f>
        <v>-37471584.557380199</v>
      </c>
      <c r="H50" s="13">
        <f t="shared" si="9"/>
        <v>2102461.3585750014</v>
      </c>
      <c r="I50" s="15">
        <f t="shared" si="9"/>
        <v>4428206.725440003</v>
      </c>
      <c r="J50" s="14">
        <f t="shared" si="9"/>
        <v>6697423.9740200043</v>
      </c>
      <c r="K50" s="13">
        <f t="shared" si="9"/>
        <v>8966641.2226000056</v>
      </c>
      <c r="L50" s="13">
        <f t="shared" si="9"/>
        <v>8977135.6711800024</v>
      </c>
      <c r="M50" s="15">
        <f t="shared" si="9"/>
        <v>8987630.1197600067</v>
      </c>
      <c r="N50" s="14">
        <f t="shared" si="9"/>
        <v>8998124.5683400035</v>
      </c>
      <c r="O50" s="13">
        <f t="shared" si="9"/>
        <v>9008619.0169200003</v>
      </c>
      <c r="P50" s="13">
        <f t="shared" si="9"/>
        <v>8720022.9655000046</v>
      </c>
      <c r="Q50" s="15">
        <f t="shared" si="9"/>
        <v>8714992.1030800045</v>
      </c>
      <c r="R50" s="14">
        <f t="shared" si="9"/>
        <v>8718709.7636200041</v>
      </c>
      <c r="S50" s="13">
        <f t="shared" si="9"/>
        <v>8722427.4241600037</v>
      </c>
      <c r="T50" s="13">
        <f t="shared" si="9"/>
        <v>8726145.0847000033</v>
      </c>
      <c r="U50" s="15">
        <f t="shared" si="9"/>
        <v>8729862.7452400029</v>
      </c>
      <c r="V50" s="14">
        <f t="shared" si="9"/>
        <v>8733580.4057800025</v>
      </c>
      <c r="W50" s="13">
        <f t="shared" si="9"/>
        <v>8737298.0663200021</v>
      </c>
      <c r="X50" s="13">
        <f t="shared" si="9"/>
        <v>8741015.7268600017</v>
      </c>
      <c r="Y50" s="15">
        <f t="shared" si="9"/>
        <v>8744733.3874000013</v>
      </c>
      <c r="Z50" s="13">
        <f>SUM(F50:Y50)</f>
        <v>146145837.94093361</v>
      </c>
    </row>
    <row r="51" spans="1:26" s="112" customFormat="1" ht="12.75" x14ac:dyDescent="0.2">
      <c r="A51" s="112" t="s">
        <v>208</v>
      </c>
      <c r="F51" s="101">
        <f>F50</f>
        <v>38162392.168818742</v>
      </c>
      <c r="G51" s="102">
        <f>F52</f>
        <v>38162392.168818742</v>
      </c>
      <c r="H51" s="102">
        <f t="shared" ref="H51:Y51" si="10">G52</f>
        <v>690807.6114385426</v>
      </c>
      <c r="I51" s="103">
        <f t="shared" si="10"/>
        <v>2793268.970013544</v>
      </c>
      <c r="J51" s="101">
        <f t="shared" si="10"/>
        <v>7221475.6954535469</v>
      </c>
      <c r="K51" s="102">
        <f t="shared" si="10"/>
        <v>13918899.669473551</v>
      </c>
      <c r="L51" s="102">
        <f t="shared" si="10"/>
        <v>22885540.892073557</v>
      </c>
      <c r="M51" s="103">
        <f t="shared" si="10"/>
        <v>31862676.563253559</v>
      </c>
      <c r="N51" s="101">
        <f t="shared" si="10"/>
        <v>40850306.683013566</v>
      </c>
      <c r="O51" s="102">
        <f t="shared" si="10"/>
        <v>49848431.251353569</v>
      </c>
      <c r="P51" s="102">
        <f t="shared" si="10"/>
        <v>58857050.26827357</v>
      </c>
      <c r="Q51" s="103">
        <f t="shared" si="10"/>
        <v>67577073.233773574</v>
      </c>
      <c r="R51" s="101">
        <f t="shared" si="10"/>
        <v>76292065.336853579</v>
      </c>
      <c r="S51" s="102">
        <f t="shared" si="10"/>
        <v>85010775.100473583</v>
      </c>
      <c r="T51" s="102">
        <f t="shared" si="10"/>
        <v>93733202.524633586</v>
      </c>
      <c r="U51" s="103">
        <f t="shared" si="10"/>
        <v>102459347.60933359</v>
      </c>
      <c r="V51" s="101">
        <f t="shared" si="10"/>
        <v>111189210.35457359</v>
      </c>
      <c r="W51" s="102">
        <f t="shared" si="10"/>
        <v>119922790.7603536</v>
      </c>
      <c r="X51" s="102">
        <f t="shared" si="10"/>
        <v>128660088.8266736</v>
      </c>
      <c r="Y51" s="103">
        <f t="shared" si="10"/>
        <v>137401104.55353361</v>
      </c>
      <c r="Z51" s="102"/>
    </row>
    <row r="52" spans="1:26" s="9" customFormat="1" ht="15" x14ac:dyDescent="0.25">
      <c r="A52" s="9" t="s">
        <v>209</v>
      </c>
      <c r="F52" s="14">
        <f>F51</f>
        <v>38162392.168818742</v>
      </c>
      <c r="G52" s="13">
        <f>G50+G51</f>
        <v>690807.6114385426</v>
      </c>
      <c r="H52" s="13">
        <f t="shared" ref="H52:Y52" si="11">H50+H51</f>
        <v>2793268.970013544</v>
      </c>
      <c r="I52" s="15">
        <f t="shared" si="11"/>
        <v>7221475.6954535469</v>
      </c>
      <c r="J52" s="14">
        <f t="shared" si="11"/>
        <v>13918899.669473551</v>
      </c>
      <c r="K52" s="13">
        <f t="shared" si="11"/>
        <v>22885540.892073557</v>
      </c>
      <c r="L52" s="13">
        <f t="shared" si="11"/>
        <v>31862676.563253559</v>
      </c>
      <c r="M52" s="15">
        <f t="shared" si="11"/>
        <v>40850306.683013566</v>
      </c>
      <c r="N52" s="14">
        <f t="shared" si="11"/>
        <v>49848431.251353569</v>
      </c>
      <c r="O52" s="13">
        <f t="shared" si="11"/>
        <v>58857050.26827357</v>
      </c>
      <c r="P52" s="13">
        <f t="shared" si="11"/>
        <v>67577073.233773574</v>
      </c>
      <c r="Q52" s="15">
        <f t="shared" si="11"/>
        <v>76292065.336853579</v>
      </c>
      <c r="R52" s="14">
        <f t="shared" si="11"/>
        <v>85010775.100473583</v>
      </c>
      <c r="S52" s="13">
        <f t="shared" si="11"/>
        <v>93733202.524633586</v>
      </c>
      <c r="T52" s="13">
        <f t="shared" si="11"/>
        <v>102459347.60933359</v>
      </c>
      <c r="U52" s="15">
        <f t="shared" si="11"/>
        <v>111189210.35457359</v>
      </c>
      <c r="V52" s="14">
        <f t="shared" si="11"/>
        <v>119922790.7603536</v>
      </c>
      <c r="W52" s="13">
        <f t="shared" si="11"/>
        <v>128660088.8266736</v>
      </c>
      <c r="X52" s="13">
        <f t="shared" si="11"/>
        <v>137401104.55353361</v>
      </c>
      <c r="Y52" s="15">
        <f t="shared" si="11"/>
        <v>146145837.94093361</v>
      </c>
      <c r="Z52" s="13">
        <f>Y52</f>
        <v>146145837.94093361</v>
      </c>
    </row>
    <row r="53" spans="1:26" s="41" customFormat="1" ht="15" thickBot="1" x14ac:dyDescent="0.25"/>
    <row r="54" spans="1:26" ht="15" thickTop="1" x14ac:dyDescent="0.2"/>
    <row r="56" spans="1:26" ht="15" thickBot="1" x14ac:dyDescent="0.25"/>
    <row r="57" spans="1:26" s="36" customFormat="1" ht="27" thickTop="1" x14ac:dyDescent="0.4">
      <c r="A57" s="385" t="s">
        <v>177</v>
      </c>
      <c r="B57" s="385"/>
      <c r="C57" s="385"/>
      <c r="D57" s="385"/>
      <c r="E57" s="385"/>
      <c r="F57" s="385"/>
      <c r="G57" s="385"/>
      <c r="H57" s="385"/>
    </row>
    <row r="58" spans="1:26" s="37" customFormat="1" x14ac:dyDescent="0.2"/>
    <row r="59" spans="1:26" s="37" customFormat="1" x14ac:dyDescent="0.2"/>
    <row r="60" spans="1:26" s="37" customFormat="1" x14ac:dyDescent="0.2"/>
    <row r="61" spans="1:26" s="37" customFormat="1" x14ac:dyDescent="0.2"/>
    <row r="62" spans="1:26" s="37" customFormat="1" x14ac:dyDescent="0.2"/>
    <row r="63" spans="1:26" s="37" customFormat="1" x14ac:dyDescent="0.2"/>
    <row r="64" spans="1:26" s="37" customFormat="1" x14ac:dyDescent="0.2"/>
    <row r="65" spans="6:26" s="37" customFormat="1" x14ac:dyDescent="0.2"/>
    <row r="66" spans="6:26" s="37" customFormat="1" x14ac:dyDescent="0.2"/>
    <row r="67" spans="6:26" s="37" customFormat="1" x14ac:dyDescent="0.2"/>
    <row r="68" spans="6:26" s="37" customFormat="1" x14ac:dyDescent="0.2"/>
    <row r="69" spans="6:26" s="37" customFormat="1" x14ac:dyDescent="0.2"/>
    <row r="70" spans="6:26" s="37" customFormat="1" x14ac:dyDescent="0.2"/>
    <row r="71" spans="6:26" s="37" customFormat="1" x14ac:dyDescent="0.2"/>
    <row r="72" spans="6:26" s="37" customFormat="1" x14ac:dyDescent="0.2"/>
    <row r="73" spans="6:26" s="37" customFormat="1" x14ac:dyDescent="0.2"/>
    <row r="74" spans="6:26" s="38" customFormat="1" ht="15" thickBot="1" x14ac:dyDescent="0.25"/>
    <row r="75" spans="6:26" ht="15" thickTop="1" x14ac:dyDescent="0.2"/>
    <row r="78" spans="6:26" x14ac:dyDescent="0.2">
      <c r="F78" s="1">
        <f>IF(F5&lt;'Центры прибыли'!$B$18,1,0)</f>
        <v>1</v>
      </c>
      <c r="G78" s="1">
        <f>IF(G5&lt;'Центры прибыли'!$B$18,1,0)</f>
        <v>1</v>
      </c>
      <c r="H78" s="1">
        <f>IF(H5&lt;'Центры прибыли'!$B$18,1,0)</f>
        <v>1</v>
      </c>
      <c r="I78" s="1">
        <f>IF(I5&lt;'Центры прибыли'!$B$18,1,0)</f>
        <v>0</v>
      </c>
      <c r="J78" s="1">
        <f>IF(J5&lt;'Центры прибыли'!$B$18,1,0)</f>
        <v>0</v>
      </c>
      <c r="K78" s="1">
        <f>IF(K5&lt;'Центры прибыли'!$B$18,1,0)</f>
        <v>0</v>
      </c>
      <c r="L78" s="1">
        <f>IF(L5&lt;'Центры прибыли'!$B$18,1,0)</f>
        <v>0</v>
      </c>
      <c r="M78" s="1">
        <f>IF(M5&lt;'Центры прибыли'!$B$18,1,0)</f>
        <v>0</v>
      </c>
      <c r="N78" s="1">
        <f>IF(N5&lt;'Центры прибыли'!$B$18,1,0)</f>
        <v>0</v>
      </c>
      <c r="O78" s="1">
        <f>IF(O5&lt;'Центры прибыли'!$B$18,1,0)</f>
        <v>0</v>
      </c>
      <c r="P78" s="1">
        <f>IF(P5&lt;'Центры прибыли'!$B$18,1,0)</f>
        <v>0</v>
      </c>
      <c r="Q78" s="1">
        <f>IF(Q5&lt;'Центры прибыли'!$B$18,1,0)</f>
        <v>0</v>
      </c>
      <c r="R78" s="1">
        <f>IF(R5&lt;'Центры прибыли'!$B$18,1,0)</f>
        <v>0</v>
      </c>
      <c r="S78" s="1">
        <f>IF(S5&lt;'Центры прибыли'!$B$18,1,0)</f>
        <v>0</v>
      </c>
      <c r="T78" s="1">
        <f>IF(T5&lt;'Центры прибыли'!$B$18,1,0)</f>
        <v>0</v>
      </c>
      <c r="U78" s="1">
        <f>IF(U5&lt;'Центры прибыли'!$B$18,1,0)</f>
        <v>0</v>
      </c>
      <c r="V78" s="1">
        <f>IF(V5&lt;'Центры прибыли'!$B$18,1,0)</f>
        <v>0</v>
      </c>
      <c r="W78" s="1">
        <f>IF(W5&lt;'Центры прибыли'!$B$18,1,0)</f>
        <v>0</v>
      </c>
      <c r="X78" s="1">
        <f>IF(X5&lt;'Центры прибыли'!$B$18,1,0)</f>
        <v>0</v>
      </c>
      <c r="Y78" s="1">
        <f>IF(Y5&lt;'Центры прибыли'!$B$18,1,0)</f>
        <v>0</v>
      </c>
      <c r="Z78" s="1">
        <f>IF(Z5&lt;'Центры прибыли'!$B$18,1,0)</f>
        <v>0</v>
      </c>
    </row>
    <row r="80" spans="6:26" x14ac:dyDescent="0.2">
      <c r="F80" s="1">
        <f>IF(F5&lt;'Центры прибыли'!$O$18,1,0)</f>
        <v>1</v>
      </c>
      <c r="G80" s="1">
        <f>IF(G5&lt;'Центры прибыли'!$O$18,1,0)</f>
        <v>1</v>
      </c>
      <c r="H80" s="1">
        <f>IF(H5&lt;'Центры прибыли'!$O$18,1,0)</f>
        <v>1</v>
      </c>
      <c r="I80" s="1">
        <f>IF(I5&lt;'Центры прибыли'!$O$18,1,0)</f>
        <v>0</v>
      </c>
      <c r="J80" s="1">
        <f>IF(J5&lt;'Центры прибыли'!$O$18,1,0)</f>
        <v>0</v>
      </c>
      <c r="K80" s="1">
        <f>IF(K5&lt;'Центры прибыли'!$O$18,1,0)</f>
        <v>0</v>
      </c>
      <c r="L80" s="1">
        <f>IF(L5&lt;'Центры прибыли'!$O$18,1,0)</f>
        <v>0</v>
      </c>
      <c r="M80" s="1">
        <f>IF(M5&lt;'Центры прибыли'!$O$18,1,0)</f>
        <v>0</v>
      </c>
      <c r="N80" s="1">
        <f>IF(N5&lt;'Центры прибыли'!$O$18,1,0)</f>
        <v>0</v>
      </c>
      <c r="O80" s="1">
        <f>IF(O5&lt;'Центры прибыли'!$O$18,1,0)</f>
        <v>0</v>
      </c>
      <c r="P80" s="1">
        <f>IF(P5&lt;'Центры прибыли'!$O$18,1,0)</f>
        <v>0</v>
      </c>
      <c r="Q80" s="1">
        <f>IF(Q5&lt;'Центры прибыли'!$O$18,1,0)</f>
        <v>0</v>
      </c>
      <c r="R80" s="1">
        <f>IF(R5&lt;'Центры прибыли'!$O$18,1,0)</f>
        <v>0</v>
      </c>
      <c r="S80" s="1">
        <f>IF(S5&lt;'Центры прибыли'!$O$18,1,0)</f>
        <v>0</v>
      </c>
      <c r="T80" s="1">
        <f>IF(T5&lt;'Центры прибыли'!$O$18,1,0)</f>
        <v>0</v>
      </c>
      <c r="U80" s="1">
        <f>IF(U5&lt;'Центры прибыли'!$O$18,1,0)</f>
        <v>0</v>
      </c>
      <c r="V80" s="1">
        <f>IF(V5&lt;'Центры прибыли'!$O$18,1,0)</f>
        <v>0</v>
      </c>
      <c r="W80" s="1">
        <f>IF(W5&lt;'Центры прибыли'!$O$18,1,0)</f>
        <v>0</v>
      </c>
      <c r="X80" s="1">
        <f>IF(X5&lt;'Центры прибыли'!$O$18,1,0)</f>
        <v>0</v>
      </c>
      <c r="Y80" s="1">
        <f>IF(Y5&lt;'Центры прибыли'!$O$18,1,0)</f>
        <v>0</v>
      </c>
      <c r="Z80" s="1">
        <f>IF(Z5&lt;'Центры прибыли'!$O$18,1,0)</f>
        <v>0</v>
      </c>
    </row>
    <row r="82" spans="6:6" x14ac:dyDescent="0.2">
      <c r="F82" s="1">
        <f>SUM(F80:Z80)+1</f>
        <v>4</v>
      </c>
    </row>
  </sheetData>
  <mergeCells count="7">
    <mergeCell ref="V3:Y3"/>
    <mergeCell ref="A57:H57"/>
    <mergeCell ref="A2:H2"/>
    <mergeCell ref="F3:I3"/>
    <mergeCell ref="J3:M3"/>
    <mergeCell ref="N3:Q3"/>
    <mergeCell ref="R3:U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-0.249977111117893"/>
  </sheetPr>
  <dimension ref="A1:AA74"/>
  <sheetViews>
    <sheetView topLeftCell="A49" workbookViewId="0">
      <selection activeCell="A34" sqref="A34"/>
    </sheetView>
  </sheetViews>
  <sheetFormatPr defaultRowHeight="14.25" x14ac:dyDescent="0.2"/>
  <cols>
    <col min="1" max="1" width="69.5703125" style="1" bestFit="1" customWidth="1"/>
    <col min="2" max="2" width="12.42578125" style="1" bestFit="1" customWidth="1"/>
    <col min="3" max="3" width="5.140625" style="1" bestFit="1" customWidth="1"/>
    <col min="4" max="5" width="9.140625" style="1"/>
    <col min="6" max="13" width="12" style="1" bestFit="1" customWidth="1"/>
    <col min="14" max="15" width="12.5703125" style="1" customWidth="1"/>
    <col min="16" max="16" width="12.140625" style="1" customWidth="1"/>
    <col min="17" max="24" width="11.28515625" style="1" bestFit="1" customWidth="1"/>
    <col min="25" max="25" width="12.42578125" style="1" bestFit="1" customWidth="1"/>
    <col min="26" max="26" width="15.85546875" style="1" customWidth="1"/>
    <col min="27" max="16384" width="9.140625" style="1"/>
  </cols>
  <sheetData>
    <row r="1" spans="1:27" ht="15" thickBot="1" x14ac:dyDescent="0.25"/>
    <row r="2" spans="1:27" s="2" customFormat="1" ht="27" thickTop="1" x14ac:dyDescent="0.4">
      <c r="A2" s="384" t="s">
        <v>214</v>
      </c>
      <c r="B2" s="384"/>
      <c r="C2" s="384"/>
      <c r="D2" s="384"/>
      <c r="E2" s="384"/>
      <c r="F2" s="384"/>
      <c r="G2" s="384"/>
      <c r="H2" s="384"/>
    </row>
    <row r="3" spans="1:27" s="3" customFormat="1" x14ac:dyDescent="0.2"/>
    <row r="4" spans="1:27" s="3" customFormat="1" x14ac:dyDescent="0.2">
      <c r="A4" s="122" t="s">
        <v>215</v>
      </c>
    </row>
    <row r="5" spans="1:27" s="3" customFormat="1" x14ac:dyDescent="0.2">
      <c r="A5" s="122" t="str">
        <f>'Параметры финансирование'!A10</f>
        <v>Собственные средства в основные активы</v>
      </c>
      <c r="B5" s="10">
        <f>'Параметры финансирование'!B10</f>
        <v>77873462.358424991</v>
      </c>
    </row>
    <row r="6" spans="1:27" s="3" customFormat="1" x14ac:dyDescent="0.2">
      <c r="A6" s="122" t="str">
        <f>'Параметры финансирование'!A11</f>
        <v>Собственные средства на покрытие кассовых разрывов</v>
      </c>
      <c r="B6" s="10">
        <f>'Параметры финансирование'!B6</f>
        <v>5143647.2782630194</v>
      </c>
    </row>
    <row r="7" spans="1:27" s="3" customFormat="1" ht="15" x14ac:dyDescent="0.25">
      <c r="A7" s="123" t="s">
        <v>216</v>
      </c>
      <c r="B7" s="13">
        <f>SUM(B5:B6)</f>
        <v>83017109.636688009</v>
      </c>
    </row>
    <row r="8" spans="1:27" s="3" customFormat="1" ht="15" x14ac:dyDescent="0.25">
      <c r="A8" s="123"/>
      <c r="B8" s="13"/>
    </row>
    <row r="9" spans="1:27" s="3" customFormat="1" ht="15" x14ac:dyDescent="0.25">
      <c r="A9" s="123" t="s">
        <v>224</v>
      </c>
      <c r="B9" s="13">
        <f>Z25</f>
        <v>146145837.94093359</v>
      </c>
    </row>
    <row r="10" spans="1:27" s="3" customFormat="1" x14ac:dyDescent="0.2">
      <c r="A10" s="122"/>
      <c r="F10" s="355" t="s">
        <v>34</v>
      </c>
      <c r="G10" s="356"/>
      <c r="H10" s="356"/>
      <c r="I10" s="357"/>
      <c r="J10" s="355" t="s">
        <v>35</v>
      </c>
      <c r="K10" s="356"/>
      <c r="L10" s="356"/>
      <c r="M10" s="357"/>
      <c r="N10" s="355" t="s">
        <v>36</v>
      </c>
      <c r="O10" s="356"/>
      <c r="P10" s="356"/>
      <c r="Q10" s="357"/>
      <c r="R10" s="355" t="s">
        <v>37</v>
      </c>
      <c r="S10" s="356"/>
      <c r="T10" s="356"/>
      <c r="U10" s="357"/>
      <c r="V10" s="355" t="s">
        <v>38</v>
      </c>
      <c r="W10" s="356"/>
      <c r="X10" s="356"/>
      <c r="Y10" s="357"/>
    </row>
    <row r="11" spans="1:27" s="3" customFormat="1" x14ac:dyDescent="0.2">
      <c r="A11" s="122" t="s">
        <v>217</v>
      </c>
      <c r="F11" s="7" t="str">
        <f>ОДДС!F4</f>
        <v>1 кв.</v>
      </c>
      <c r="G11" s="3" t="str">
        <f>ОДДС!G4</f>
        <v>2 кв.</v>
      </c>
      <c r="H11" s="3" t="str">
        <f>ОДДС!H4</f>
        <v>3 кв.</v>
      </c>
      <c r="I11" s="8" t="str">
        <f>ОДДС!I4</f>
        <v>4 кв.</v>
      </c>
      <c r="J11" s="7" t="str">
        <f>ОДДС!J4</f>
        <v>5 кв.</v>
      </c>
      <c r="K11" s="3" t="str">
        <f>ОДДС!K4</f>
        <v>6 кв.</v>
      </c>
      <c r="L11" s="3" t="str">
        <f>ОДДС!L4</f>
        <v>7 кв.</v>
      </c>
      <c r="M11" s="8" t="str">
        <f>ОДДС!M4</f>
        <v>8 кв.</v>
      </c>
      <c r="N11" s="7" t="str">
        <f>ОДДС!N4</f>
        <v>9 кв.</v>
      </c>
      <c r="O11" s="3" t="str">
        <f>ОДДС!O4</f>
        <v>10 кв.</v>
      </c>
      <c r="P11" s="3" t="str">
        <f>ОДДС!P4</f>
        <v>11 кв.</v>
      </c>
      <c r="Q11" s="8" t="str">
        <f>ОДДС!Q4</f>
        <v>12 кв.</v>
      </c>
      <c r="R11" s="7" t="str">
        <f>ОДДС!R4</f>
        <v>13 кв.</v>
      </c>
      <c r="S11" s="3" t="str">
        <f>ОДДС!S4</f>
        <v>14 кв.</v>
      </c>
      <c r="T11" s="3" t="str">
        <f>ОДДС!T4</f>
        <v>15 кв.</v>
      </c>
      <c r="U11" s="8" t="str">
        <f>ОДДС!U4</f>
        <v>16 кв.</v>
      </c>
      <c r="V11" s="7" t="str">
        <f>ОДДС!V4</f>
        <v>17 кв.</v>
      </c>
      <c r="W11" s="3" t="str">
        <f>ОДДС!W4</f>
        <v>18 кв.</v>
      </c>
      <c r="X11" s="3" t="str">
        <f>ОДДС!X4</f>
        <v>19 кв.</v>
      </c>
      <c r="Y11" s="8" t="str">
        <f>ОДДС!Y4</f>
        <v>20 кв.</v>
      </c>
      <c r="Z11" s="3" t="str">
        <f>ОДДС!Z4</f>
        <v>Итого</v>
      </c>
    </row>
    <row r="12" spans="1:27" s="3" customFormat="1" x14ac:dyDescent="0.2">
      <c r="A12" s="122" t="s">
        <v>131</v>
      </c>
      <c r="B12" s="10"/>
      <c r="F12" s="11">
        <f>ОДДС!F5</f>
        <v>0</v>
      </c>
      <c r="G12" s="10">
        <f>ОДДС!G5</f>
        <v>39852000</v>
      </c>
      <c r="H12" s="10">
        <f>ОДДС!H5</f>
        <v>46494000</v>
      </c>
      <c r="I12" s="12">
        <f>ОДДС!I5</f>
        <v>53136000</v>
      </c>
      <c r="J12" s="11">
        <f>ОДДС!J5</f>
        <v>59778000</v>
      </c>
      <c r="K12" s="10">
        <f>ОДДС!K5</f>
        <v>66420000</v>
      </c>
      <c r="L12" s="10">
        <f>ОДДС!L5</f>
        <v>66420000</v>
      </c>
      <c r="M12" s="12">
        <f>ОДДС!M5</f>
        <v>66420000</v>
      </c>
      <c r="N12" s="11">
        <f>ОДДС!N5</f>
        <v>66420000</v>
      </c>
      <c r="O12" s="10">
        <f>ОДДС!O5</f>
        <v>66420000</v>
      </c>
      <c r="P12" s="10">
        <f>ОДДС!P5</f>
        <v>66420000</v>
      </c>
      <c r="Q12" s="12">
        <f>ОДДС!Q5</f>
        <v>66420000</v>
      </c>
      <c r="R12" s="11">
        <f>ОДДС!R5</f>
        <v>66420000</v>
      </c>
      <c r="S12" s="10">
        <f>ОДДС!S5</f>
        <v>66420000</v>
      </c>
      <c r="T12" s="10">
        <f>ОДДС!T5</f>
        <v>66420000</v>
      </c>
      <c r="U12" s="12">
        <f>ОДДС!U5</f>
        <v>66420000</v>
      </c>
      <c r="V12" s="11">
        <f>ОДДС!V5</f>
        <v>66420000</v>
      </c>
      <c r="W12" s="10">
        <f>ОДДС!W5</f>
        <v>66420000</v>
      </c>
      <c r="X12" s="10">
        <f>ОДДС!X5</f>
        <v>66420000</v>
      </c>
      <c r="Y12" s="12">
        <f>ОДДС!Y5</f>
        <v>66420000</v>
      </c>
      <c r="Z12" s="10">
        <f>ОДДС!Z5</f>
        <v>1195560000</v>
      </c>
      <c r="AA12" s="10"/>
    </row>
    <row r="13" spans="1:27" s="3" customFormat="1" x14ac:dyDescent="0.2">
      <c r="A13" s="122" t="s">
        <v>43</v>
      </c>
      <c r="F13" s="11">
        <f>ОДДС!F10</f>
        <v>0</v>
      </c>
      <c r="G13" s="10">
        <f>ОДДС!G10</f>
        <v>19523494.800000001</v>
      </c>
      <c r="H13" s="10">
        <f>ОДДС!H10</f>
        <v>22777410.600000001</v>
      </c>
      <c r="I13" s="12">
        <f>ОДДС!I10</f>
        <v>26031326.399999999</v>
      </c>
      <c r="J13" s="11">
        <f>ОДДС!J10</f>
        <v>29285242.199999999</v>
      </c>
      <c r="K13" s="10">
        <f>ОДДС!K10</f>
        <v>32539158</v>
      </c>
      <c r="L13" s="10">
        <f>ОДДС!L10</f>
        <v>32539158</v>
      </c>
      <c r="M13" s="12">
        <f>ОДДС!M10</f>
        <v>32539158</v>
      </c>
      <c r="N13" s="11">
        <f>ОДДС!N10</f>
        <v>32539158</v>
      </c>
      <c r="O13" s="10">
        <f>ОДДС!O10</f>
        <v>32539158</v>
      </c>
      <c r="P13" s="10">
        <f>ОДДС!P10</f>
        <v>32539158</v>
      </c>
      <c r="Q13" s="12">
        <f>ОДДС!Q10</f>
        <v>32539158</v>
      </c>
      <c r="R13" s="11">
        <f>ОДДС!R10</f>
        <v>32539158</v>
      </c>
      <c r="S13" s="10">
        <f>ОДДС!S10</f>
        <v>32539158</v>
      </c>
      <c r="T13" s="10">
        <f>ОДДС!T10</f>
        <v>32539158</v>
      </c>
      <c r="U13" s="12">
        <f>ОДДС!U10</f>
        <v>32539158</v>
      </c>
      <c r="V13" s="11">
        <f>ОДДС!V10</f>
        <v>32539158</v>
      </c>
      <c r="W13" s="10">
        <f>ОДДС!W10</f>
        <v>32539158</v>
      </c>
      <c r="X13" s="10">
        <f>ОДДС!X10</f>
        <v>32539158</v>
      </c>
      <c r="Y13" s="12">
        <f>ОДДС!Y10</f>
        <v>32539158</v>
      </c>
      <c r="Z13" s="10">
        <f>ОДДС!Z10</f>
        <v>585704844</v>
      </c>
      <c r="AA13" s="10"/>
    </row>
    <row r="14" spans="1:27" s="3" customFormat="1" x14ac:dyDescent="0.2">
      <c r="A14" s="122" t="s">
        <v>65</v>
      </c>
      <c r="F14" s="11">
        <f>ОДДС!F14</f>
        <v>5980028.6571156234</v>
      </c>
      <c r="G14" s="10">
        <f>ОДДС!G14</f>
        <v>19406532.984343752</v>
      </c>
      <c r="H14" s="10">
        <f>ОДДС!H14</f>
        <v>21003027.478649996</v>
      </c>
      <c r="I14" s="12">
        <f>ОДДС!I14</f>
        <v>21003027.478649996</v>
      </c>
      <c r="J14" s="11">
        <f>ОДДС!J14</f>
        <v>21003027.478649996</v>
      </c>
      <c r="K14" s="10">
        <f>ОДДС!K14</f>
        <v>21003027.478649996</v>
      </c>
      <c r="L14" s="10">
        <f>ОДДС!L14</f>
        <v>21003027.478649996</v>
      </c>
      <c r="M14" s="12">
        <f>ОДДС!M14</f>
        <v>21003027.478649996</v>
      </c>
      <c r="N14" s="11">
        <f>ОДДС!N14</f>
        <v>21003027.478649996</v>
      </c>
      <c r="O14" s="10">
        <f>ОДДС!O14</f>
        <v>21003027.478649996</v>
      </c>
      <c r="P14" s="10">
        <f>ОДДС!P14</f>
        <v>21003027.478649996</v>
      </c>
      <c r="Q14" s="12">
        <f>ОДДС!Q14</f>
        <v>21003027.478649996</v>
      </c>
      <c r="R14" s="11">
        <f>ОДДС!R14</f>
        <v>21003027.478649996</v>
      </c>
      <c r="S14" s="10">
        <f>ОДДС!S14</f>
        <v>21003027.478649996</v>
      </c>
      <c r="T14" s="10">
        <f>ОДДС!T14</f>
        <v>21003027.478649996</v>
      </c>
      <c r="U14" s="12">
        <f>ОДДС!U14</f>
        <v>21003027.478649996</v>
      </c>
      <c r="V14" s="11">
        <f>ОДДС!V14</f>
        <v>21003027.478649996</v>
      </c>
      <c r="W14" s="10">
        <f>ОДДС!W14</f>
        <v>21003027.478649996</v>
      </c>
      <c r="X14" s="10">
        <f>ОДДС!X14</f>
        <v>21003027.478649996</v>
      </c>
      <c r="Y14" s="12">
        <f>ОДДС!Y14</f>
        <v>21003027.478649996</v>
      </c>
      <c r="Z14" s="10">
        <f>ОДДС!Z14</f>
        <v>403441056.25715923</v>
      </c>
      <c r="AA14" s="10"/>
    </row>
    <row r="15" spans="1:27" s="3" customFormat="1" x14ac:dyDescent="0.2">
      <c r="A15" s="122" t="s">
        <v>133</v>
      </c>
      <c r="F15" s="11">
        <f>ОДДС!F28</f>
        <v>-836381.37885260396</v>
      </c>
      <c r="G15" s="10">
        <f>ОДДС!G28</f>
        <v>231164.60421770721</v>
      </c>
      <c r="H15" s="10">
        <f>ОДДС!H28</f>
        <v>611100.56277499942</v>
      </c>
      <c r="I15" s="12">
        <f>ОДДС!I28</f>
        <v>1673439.3959100014</v>
      </c>
      <c r="J15" s="11">
        <f>ОДДС!J28</f>
        <v>2792306.3473300016</v>
      </c>
      <c r="K15" s="10">
        <f>ОДДС!K28</f>
        <v>3911173.298750001</v>
      </c>
      <c r="L15" s="10">
        <f>ОДДС!L28</f>
        <v>3900678.8501700005</v>
      </c>
      <c r="M15" s="12">
        <f>ОДДС!M28</f>
        <v>3890184.4015900008</v>
      </c>
      <c r="N15" s="11">
        <f>ОДДС!N28</f>
        <v>3879689.9530100008</v>
      </c>
      <c r="O15" s="10">
        <f>ОДДС!O28</f>
        <v>3869195.5044300007</v>
      </c>
      <c r="P15" s="10">
        <f>ОДДС!P28</f>
        <v>4157791.5558500011</v>
      </c>
      <c r="Q15" s="12">
        <f>ОДДС!Q28</f>
        <v>4162822.4182700007</v>
      </c>
      <c r="R15" s="11">
        <f>ОДДС!R28</f>
        <v>4159104.7577300007</v>
      </c>
      <c r="S15" s="10">
        <f>ОДДС!S28</f>
        <v>4155387.097190001</v>
      </c>
      <c r="T15" s="10">
        <f>ОДДС!T28</f>
        <v>4151669.436650001</v>
      </c>
      <c r="U15" s="12">
        <f>ОДДС!U28</f>
        <v>4147951.7761100009</v>
      </c>
      <c r="V15" s="11">
        <f>ОДДС!V28</f>
        <v>4144234.1155700013</v>
      </c>
      <c r="W15" s="10">
        <f>ОДДС!W28</f>
        <v>4140516.4550300008</v>
      </c>
      <c r="X15" s="10">
        <f>ОДДС!X28</f>
        <v>4136798.7944900012</v>
      </c>
      <c r="Y15" s="12">
        <f>ОДДС!Y28</f>
        <v>4133081.1339500006</v>
      </c>
      <c r="Z15" s="10">
        <f>ОДДС!Z28</f>
        <v>65411909.080170117</v>
      </c>
      <c r="AA15" s="10"/>
    </row>
    <row r="16" spans="1:27" s="3" customFormat="1" ht="15" x14ac:dyDescent="0.25">
      <c r="A16" s="123" t="s">
        <v>218</v>
      </c>
      <c r="F16" s="11">
        <f>F12-F13-F14-F15</f>
        <v>-5143647.2782630194</v>
      </c>
      <c r="G16" s="10">
        <f t="shared" ref="G16:Z16" si="0">G12-G13-G14-G15</f>
        <v>690807.61143853981</v>
      </c>
      <c r="H16" s="10">
        <f t="shared" si="0"/>
        <v>2102461.3585750028</v>
      </c>
      <c r="I16" s="12">
        <f t="shared" si="0"/>
        <v>4428206.7254400039</v>
      </c>
      <c r="J16" s="11">
        <f t="shared" si="0"/>
        <v>6697423.9740200024</v>
      </c>
      <c r="K16" s="10">
        <f t="shared" si="0"/>
        <v>8966641.2226000018</v>
      </c>
      <c r="L16" s="10">
        <f t="shared" si="0"/>
        <v>8977135.6711800024</v>
      </c>
      <c r="M16" s="12">
        <f t="shared" si="0"/>
        <v>8987630.1197600029</v>
      </c>
      <c r="N16" s="11">
        <f t="shared" si="0"/>
        <v>8998124.5683400035</v>
      </c>
      <c r="O16" s="10">
        <f t="shared" si="0"/>
        <v>9008619.016920004</v>
      </c>
      <c r="P16" s="10">
        <f t="shared" si="0"/>
        <v>8720022.9655000027</v>
      </c>
      <c r="Q16" s="12">
        <f t="shared" si="0"/>
        <v>8714992.1030800026</v>
      </c>
      <c r="R16" s="11">
        <f t="shared" si="0"/>
        <v>8718709.7636200041</v>
      </c>
      <c r="S16" s="10">
        <f t="shared" si="0"/>
        <v>8722427.4241600037</v>
      </c>
      <c r="T16" s="10">
        <f t="shared" si="0"/>
        <v>8726145.0847000033</v>
      </c>
      <c r="U16" s="12">
        <f t="shared" si="0"/>
        <v>8729862.7452400029</v>
      </c>
      <c r="V16" s="11">
        <f t="shared" si="0"/>
        <v>8733580.4057800025</v>
      </c>
      <c r="W16" s="10">
        <f t="shared" si="0"/>
        <v>8737298.0663200021</v>
      </c>
      <c r="X16" s="10">
        <f t="shared" si="0"/>
        <v>8741015.7268600017</v>
      </c>
      <c r="Y16" s="12">
        <f t="shared" si="0"/>
        <v>8744733.3874000032</v>
      </c>
      <c r="Z16" s="10">
        <f t="shared" si="0"/>
        <v>141002190.66267064</v>
      </c>
      <c r="AA16" s="10"/>
    </row>
    <row r="17" spans="1:26" s="3" customFormat="1" x14ac:dyDescent="0.2">
      <c r="A17" s="122"/>
      <c r="F17" s="7"/>
      <c r="I17" s="8"/>
      <c r="J17" s="7"/>
      <c r="M17" s="8"/>
      <c r="N17" s="7"/>
      <c r="Q17" s="8"/>
      <c r="R17" s="7"/>
      <c r="U17" s="8"/>
      <c r="V17" s="7"/>
      <c r="Y17" s="8"/>
    </row>
    <row r="18" spans="1:26" s="3" customFormat="1" x14ac:dyDescent="0.2">
      <c r="A18" s="122" t="s">
        <v>223</v>
      </c>
      <c r="F18" s="7"/>
      <c r="I18" s="8"/>
      <c r="J18" s="7"/>
      <c r="M18" s="8"/>
      <c r="N18" s="7"/>
      <c r="Q18" s="8"/>
      <c r="R18" s="7"/>
      <c r="U18" s="8"/>
      <c r="V18" s="7"/>
      <c r="Y18" s="8"/>
    </row>
    <row r="19" spans="1:26" s="3" customFormat="1" x14ac:dyDescent="0.2">
      <c r="A19" s="122" t="s">
        <v>128</v>
      </c>
      <c r="F19" s="11">
        <f>'Параметры финансирование'!F27</f>
        <v>0</v>
      </c>
      <c r="G19" s="10">
        <f>'Параметры финансирование'!G27</f>
        <v>0</v>
      </c>
      <c r="H19" s="10">
        <f>'Параметры финансирование'!H27</f>
        <v>0</v>
      </c>
      <c r="I19" s="12">
        <f>'Параметры финансирование'!I27</f>
        <v>0</v>
      </c>
      <c r="J19" s="11">
        <f>'Параметры финансирование'!J27</f>
        <v>0</v>
      </c>
      <c r="K19" s="10">
        <f>'Параметры финансирование'!K27</f>
        <v>0</v>
      </c>
      <c r="L19" s="10">
        <f>'Параметры финансирование'!L27</f>
        <v>0</v>
      </c>
      <c r="M19" s="12">
        <f>'Параметры финансирование'!M27</f>
        <v>0</v>
      </c>
      <c r="N19" s="11">
        <f>'Параметры финансирование'!N27</f>
        <v>0</v>
      </c>
      <c r="O19" s="10">
        <f>'Параметры финансирование'!O27</f>
        <v>0</v>
      </c>
      <c r="P19" s="10">
        <f>'Параметры финансирование'!P27</f>
        <v>0</v>
      </c>
      <c r="Q19" s="12">
        <f>'Параметры финансирование'!Q27</f>
        <v>0</v>
      </c>
      <c r="R19" s="11">
        <f>'Параметры финансирование'!R27</f>
        <v>0</v>
      </c>
      <c r="S19" s="10">
        <f>'Параметры финансирование'!S27</f>
        <v>0</v>
      </c>
      <c r="T19" s="10">
        <f>'Параметры финансирование'!T27</f>
        <v>0</v>
      </c>
      <c r="U19" s="12">
        <f>'Параметры финансирование'!U27</f>
        <v>0</v>
      </c>
      <c r="V19" s="11">
        <f>'Параметры финансирование'!V27</f>
        <v>0</v>
      </c>
      <c r="W19" s="10">
        <f>'Параметры финансирование'!W27</f>
        <v>0</v>
      </c>
      <c r="X19" s="10">
        <f>'Параметры финансирование'!X27</f>
        <v>0</v>
      </c>
      <c r="Y19" s="12">
        <f>'Параметры финансирование'!Y27</f>
        <v>0</v>
      </c>
      <c r="Z19" s="10"/>
    </row>
    <row r="20" spans="1:26" s="3" customFormat="1" x14ac:dyDescent="0.2">
      <c r="A20" s="122" t="s">
        <v>219</v>
      </c>
      <c r="F20" s="11">
        <f>'Параметры финансирование'!F28</f>
        <v>0</v>
      </c>
      <c r="G20" s="10">
        <f>'Параметры финансирование'!G28</f>
        <v>0</v>
      </c>
      <c r="H20" s="10">
        <f>'Параметры финансирование'!H28</f>
        <v>0</v>
      </c>
      <c r="I20" s="12">
        <f>'Параметры финансирование'!I28</f>
        <v>0</v>
      </c>
      <c r="J20" s="11">
        <f>'Параметры финансирование'!J28</f>
        <v>0</v>
      </c>
      <c r="K20" s="10">
        <f>'Параметры финансирование'!K28</f>
        <v>0</v>
      </c>
      <c r="L20" s="10">
        <f>'Параметры финансирование'!L28</f>
        <v>0</v>
      </c>
      <c r="M20" s="12">
        <f>'Параметры финансирование'!M28</f>
        <v>0</v>
      </c>
      <c r="N20" s="11">
        <f>'Параметры финансирование'!N28</f>
        <v>0</v>
      </c>
      <c r="O20" s="10">
        <f>'Параметры финансирование'!O28</f>
        <v>0</v>
      </c>
      <c r="P20" s="10">
        <f>'Параметры финансирование'!P28</f>
        <v>0</v>
      </c>
      <c r="Q20" s="12">
        <f>'Параметры финансирование'!Q28</f>
        <v>0</v>
      </c>
      <c r="R20" s="11">
        <f>'Параметры финансирование'!R28</f>
        <v>0</v>
      </c>
      <c r="S20" s="10">
        <f>'Параметры финансирование'!S28</f>
        <v>0</v>
      </c>
      <c r="T20" s="10">
        <f>'Параметры финансирование'!T28</f>
        <v>0</v>
      </c>
      <c r="U20" s="12">
        <f>'Параметры финансирование'!U28</f>
        <v>0</v>
      </c>
      <c r="V20" s="11">
        <f>'Параметры финансирование'!V28</f>
        <v>0</v>
      </c>
      <c r="W20" s="10">
        <f>'Параметры финансирование'!W28</f>
        <v>0</v>
      </c>
      <c r="X20" s="10">
        <f>'Параметры финансирование'!X28</f>
        <v>0</v>
      </c>
      <c r="Y20" s="12">
        <f>'Параметры финансирование'!Y28</f>
        <v>0</v>
      </c>
      <c r="Z20" s="10"/>
    </row>
    <row r="21" spans="1:26" s="3" customFormat="1" ht="15" x14ac:dyDescent="0.25">
      <c r="A21" s="123" t="s">
        <v>220</v>
      </c>
      <c r="F21" s="11">
        <f>F19+F20</f>
        <v>0</v>
      </c>
      <c r="G21" s="10">
        <f t="shared" ref="G21:Y21" si="1">G19+G20</f>
        <v>0</v>
      </c>
      <c r="H21" s="10">
        <f t="shared" si="1"/>
        <v>0</v>
      </c>
      <c r="I21" s="12">
        <f t="shared" si="1"/>
        <v>0</v>
      </c>
      <c r="J21" s="11">
        <f t="shared" si="1"/>
        <v>0</v>
      </c>
      <c r="K21" s="10">
        <f t="shared" si="1"/>
        <v>0</v>
      </c>
      <c r="L21" s="10">
        <f t="shared" si="1"/>
        <v>0</v>
      </c>
      <c r="M21" s="12">
        <f t="shared" si="1"/>
        <v>0</v>
      </c>
      <c r="N21" s="11">
        <f t="shared" si="1"/>
        <v>0</v>
      </c>
      <c r="O21" s="10">
        <f t="shared" si="1"/>
        <v>0</v>
      </c>
      <c r="P21" s="10">
        <f t="shared" si="1"/>
        <v>0</v>
      </c>
      <c r="Q21" s="12">
        <f t="shared" si="1"/>
        <v>0</v>
      </c>
      <c r="R21" s="11">
        <f t="shared" si="1"/>
        <v>0</v>
      </c>
      <c r="S21" s="10">
        <f t="shared" si="1"/>
        <v>0</v>
      </c>
      <c r="T21" s="10">
        <f t="shared" si="1"/>
        <v>0</v>
      </c>
      <c r="U21" s="12">
        <f t="shared" si="1"/>
        <v>0</v>
      </c>
      <c r="V21" s="11">
        <f t="shared" si="1"/>
        <v>0</v>
      </c>
      <c r="W21" s="10">
        <f t="shared" si="1"/>
        <v>0</v>
      </c>
      <c r="X21" s="10">
        <f t="shared" si="1"/>
        <v>0</v>
      </c>
      <c r="Y21" s="12">
        <f t="shared" si="1"/>
        <v>0</v>
      </c>
      <c r="Z21" s="10"/>
    </row>
    <row r="22" spans="1:26" s="3" customFormat="1" x14ac:dyDescent="0.2">
      <c r="A22" s="122"/>
      <c r="F22" s="7"/>
      <c r="I22" s="8"/>
      <c r="J22" s="7"/>
      <c r="M22" s="8"/>
      <c r="N22" s="7"/>
      <c r="Q22" s="8"/>
      <c r="R22" s="7"/>
      <c r="U22" s="8"/>
      <c r="V22" s="7"/>
      <c r="Y22" s="8"/>
    </row>
    <row r="23" spans="1:26" s="3" customFormat="1" ht="15" x14ac:dyDescent="0.25">
      <c r="A23" s="123" t="s">
        <v>221</v>
      </c>
      <c r="F23" s="11">
        <f>F16-F21</f>
        <v>-5143647.2782630194</v>
      </c>
      <c r="G23" s="10">
        <f t="shared" ref="G23:Y23" si="2">G16-G21</f>
        <v>690807.61143853981</v>
      </c>
      <c r="H23" s="10">
        <f t="shared" si="2"/>
        <v>2102461.3585750028</v>
      </c>
      <c r="I23" s="12">
        <f t="shared" si="2"/>
        <v>4428206.7254400039</v>
      </c>
      <c r="J23" s="11">
        <f t="shared" si="2"/>
        <v>6697423.9740200024</v>
      </c>
      <c r="K23" s="10">
        <f t="shared" si="2"/>
        <v>8966641.2226000018</v>
      </c>
      <c r="L23" s="10">
        <f t="shared" si="2"/>
        <v>8977135.6711800024</v>
      </c>
      <c r="M23" s="12">
        <f t="shared" si="2"/>
        <v>8987630.1197600029</v>
      </c>
      <c r="N23" s="11">
        <f t="shared" si="2"/>
        <v>8998124.5683400035</v>
      </c>
      <c r="O23" s="10">
        <f t="shared" si="2"/>
        <v>9008619.016920004</v>
      </c>
      <c r="P23" s="10">
        <f t="shared" si="2"/>
        <v>8720022.9655000027</v>
      </c>
      <c r="Q23" s="12">
        <f t="shared" si="2"/>
        <v>8714992.1030800026</v>
      </c>
      <c r="R23" s="11">
        <f t="shared" si="2"/>
        <v>8718709.7636200041</v>
      </c>
      <c r="S23" s="10">
        <f t="shared" si="2"/>
        <v>8722427.4241600037</v>
      </c>
      <c r="T23" s="10">
        <f t="shared" si="2"/>
        <v>8726145.0847000033</v>
      </c>
      <c r="U23" s="12">
        <f t="shared" si="2"/>
        <v>8729862.7452400029</v>
      </c>
      <c r="V23" s="11">
        <f t="shared" si="2"/>
        <v>8733580.4057800025</v>
      </c>
      <c r="W23" s="10">
        <f t="shared" si="2"/>
        <v>8737298.0663200021</v>
      </c>
      <c r="X23" s="10">
        <f t="shared" si="2"/>
        <v>8741015.7268600017</v>
      </c>
      <c r="Y23" s="12">
        <f t="shared" si="2"/>
        <v>8744733.3874000032</v>
      </c>
    </row>
    <row r="24" spans="1:26" s="3" customFormat="1" x14ac:dyDescent="0.2">
      <c r="A24" s="122"/>
      <c r="F24" s="7"/>
      <c r="I24" s="8"/>
      <c r="J24" s="7"/>
      <c r="M24" s="8"/>
      <c r="N24" s="7"/>
      <c r="Q24" s="8"/>
      <c r="R24" s="7"/>
      <c r="U24" s="8"/>
      <c r="V24" s="7"/>
      <c r="Y24" s="8"/>
    </row>
    <row r="25" spans="1:26" s="3" customFormat="1" ht="15" x14ac:dyDescent="0.25">
      <c r="A25" s="123" t="s">
        <v>222</v>
      </c>
      <c r="B25" s="9"/>
      <c r="C25" s="9"/>
      <c r="D25" s="9"/>
      <c r="E25" s="9"/>
      <c r="F25" s="14">
        <f>IF(F23&gt;0,F23,0)</f>
        <v>0</v>
      </c>
      <c r="G25" s="13">
        <f t="shared" ref="G25:Y25" si="3">IF(G23&gt;0,G23,0)</f>
        <v>690807.61143853981</v>
      </c>
      <c r="H25" s="13">
        <f t="shared" si="3"/>
        <v>2102461.3585750028</v>
      </c>
      <c r="I25" s="15">
        <f t="shared" si="3"/>
        <v>4428206.7254400039</v>
      </c>
      <c r="J25" s="14">
        <f t="shared" si="3"/>
        <v>6697423.9740200024</v>
      </c>
      <c r="K25" s="13">
        <f t="shared" si="3"/>
        <v>8966641.2226000018</v>
      </c>
      <c r="L25" s="13">
        <f t="shared" si="3"/>
        <v>8977135.6711800024</v>
      </c>
      <c r="M25" s="15">
        <f t="shared" si="3"/>
        <v>8987630.1197600029</v>
      </c>
      <c r="N25" s="14">
        <f t="shared" si="3"/>
        <v>8998124.5683400035</v>
      </c>
      <c r="O25" s="13">
        <f t="shared" si="3"/>
        <v>9008619.016920004</v>
      </c>
      <c r="P25" s="13">
        <f t="shared" si="3"/>
        <v>8720022.9655000027</v>
      </c>
      <c r="Q25" s="15">
        <f t="shared" si="3"/>
        <v>8714992.1030800026</v>
      </c>
      <c r="R25" s="14">
        <f t="shared" si="3"/>
        <v>8718709.7636200041</v>
      </c>
      <c r="S25" s="13">
        <f t="shared" si="3"/>
        <v>8722427.4241600037</v>
      </c>
      <c r="T25" s="13">
        <f t="shared" si="3"/>
        <v>8726145.0847000033</v>
      </c>
      <c r="U25" s="15">
        <f t="shared" si="3"/>
        <v>8729862.7452400029</v>
      </c>
      <c r="V25" s="14">
        <f t="shared" si="3"/>
        <v>8733580.4057800025</v>
      </c>
      <c r="W25" s="13">
        <f t="shared" si="3"/>
        <v>8737298.0663200021</v>
      </c>
      <c r="X25" s="13">
        <f t="shared" si="3"/>
        <v>8741015.7268600017</v>
      </c>
      <c r="Y25" s="15">
        <f t="shared" si="3"/>
        <v>8744733.3874000032</v>
      </c>
      <c r="Z25" s="13">
        <f>SUM(F25:Y25)</f>
        <v>146145837.94093359</v>
      </c>
    </row>
    <row r="26" spans="1:26" s="3" customFormat="1" x14ac:dyDescent="0.2"/>
    <row r="27" spans="1:26" s="3" customFormat="1" x14ac:dyDescent="0.2">
      <c r="A27" s="3" t="s">
        <v>228</v>
      </c>
      <c r="F27" s="356" t="str">
        <f>F10</f>
        <v>1 год</v>
      </c>
      <c r="G27" s="356"/>
      <c r="H27" s="356"/>
      <c r="I27" s="356"/>
      <c r="J27" s="356" t="str">
        <f t="shared" ref="J27" si="4">J10</f>
        <v>2 год</v>
      </c>
      <c r="K27" s="356"/>
      <c r="L27" s="356"/>
      <c r="M27" s="356"/>
      <c r="N27" s="356" t="str">
        <f t="shared" ref="N27" si="5">N10</f>
        <v>3 год</v>
      </c>
      <c r="O27" s="356"/>
      <c r="P27" s="356"/>
      <c r="Q27" s="356"/>
      <c r="R27" s="356" t="str">
        <f t="shared" ref="R27" si="6">R10</f>
        <v>4 год</v>
      </c>
      <c r="S27" s="356"/>
      <c r="T27" s="356"/>
      <c r="U27" s="356"/>
      <c r="V27" s="356" t="str">
        <f t="shared" ref="V27" si="7">V10</f>
        <v>5 год</v>
      </c>
      <c r="W27" s="356"/>
      <c r="X27" s="356"/>
      <c r="Y27" s="356"/>
    </row>
    <row r="28" spans="1:26" s="3" customFormat="1" x14ac:dyDescent="0.2">
      <c r="F28" s="3" t="str">
        <f>F11</f>
        <v>1 кв.</v>
      </c>
      <c r="G28" s="3" t="str">
        <f t="shared" ref="G28:Y28" si="8">G11</f>
        <v>2 кв.</v>
      </c>
      <c r="H28" s="3" t="str">
        <f t="shared" si="8"/>
        <v>3 кв.</v>
      </c>
      <c r="I28" s="3" t="str">
        <f t="shared" si="8"/>
        <v>4 кв.</v>
      </c>
      <c r="J28" s="3" t="str">
        <f t="shared" si="8"/>
        <v>5 кв.</v>
      </c>
      <c r="K28" s="3" t="str">
        <f t="shared" si="8"/>
        <v>6 кв.</v>
      </c>
      <c r="L28" s="3" t="str">
        <f t="shared" si="8"/>
        <v>7 кв.</v>
      </c>
      <c r="M28" s="3" t="str">
        <f t="shared" si="8"/>
        <v>8 кв.</v>
      </c>
      <c r="N28" s="3" t="str">
        <f t="shared" si="8"/>
        <v>9 кв.</v>
      </c>
      <c r="O28" s="3" t="str">
        <f t="shared" si="8"/>
        <v>10 кв.</v>
      </c>
      <c r="P28" s="3" t="str">
        <f t="shared" si="8"/>
        <v>11 кв.</v>
      </c>
      <c r="Q28" s="3" t="str">
        <f t="shared" si="8"/>
        <v>12 кв.</v>
      </c>
      <c r="R28" s="3" t="str">
        <f t="shared" si="8"/>
        <v>13 кв.</v>
      </c>
      <c r="S28" s="3" t="str">
        <f t="shared" si="8"/>
        <v>14 кв.</v>
      </c>
      <c r="T28" s="3" t="str">
        <f t="shared" si="8"/>
        <v>15 кв.</v>
      </c>
      <c r="U28" s="3" t="str">
        <f t="shared" si="8"/>
        <v>16 кв.</v>
      </c>
      <c r="V28" s="3" t="str">
        <f t="shared" si="8"/>
        <v>17 кв.</v>
      </c>
      <c r="W28" s="3" t="str">
        <f t="shared" si="8"/>
        <v>18 кв.</v>
      </c>
      <c r="X28" s="3" t="str">
        <f t="shared" si="8"/>
        <v>19 кв.</v>
      </c>
      <c r="Y28" s="3" t="str">
        <f t="shared" si="8"/>
        <v>20 кв.</v>
      </c>
      <c r="Z28" s="3" t="s">
        <v>7</v>
      </c>
    </row>
    <row r="29" spans="1:26" s="3" customFormat="1" x14ac:dyDescent="0.2">
      <c r="A29" s="3" t="s">
        <v>215</v>
      </c>
      <c r="F29" s="10">
        <f>B7</f>
        <v>83017109.636688009</v>
      </c>
      <c r="Z29" s="10">
        <f>SUM(F29:Y29)</f>
        <v>83017109.636688009</v>
      </c>
    </row>
    <row r="30" spans="1:26" s="3" customFormat="1" x14ac:dyDescent="0.2">
      <c r="A30" s="3" t="s">
        <v>229</v>
      </c>
      <c r="F30" s="10">
        <f>F25</f>
        <v>0</v>
      </c>
      <c r="G30" s="10">
        <f t="shared" ref="G30:Y30" si="9">G25</f>
        <v>690807.61143853981</v>
      </c>
      <c r="H30" s="10">
        <f t="shared" si="9"/>
        <v>2102461.3585750028</v>
      </c>
      <c r="I30" s="10">
        <f t="shared" si="9"/>
        <v>4428206.7254400039</v>
      </c>
      <c r="J30" s="10">
        <f t="shared" si="9"/>
        <v>6697423.9740200024</v>
      </c>
      <c r="K30" s="10">
        <f t="shared" si="9"/>
        <v>8966641.2226000018</v>
      </c>
      <c r="L30" s="10">
        <f t="shared" si="9"/>
        <v>8977135.6711800024</v>
      </c>
      <c r="M30" s="10">
        <f t="shared" si="9"/>
        <v>8987630.1197600029</v>
      </c>
      <c r="N30" s="10">
        <f t="shared" si="9"/>
        <v>8998124.5683400035</v>
      </c>
      <c r="O30" s="10">
        <f t="shared" si="9"/>
        <v>9008619.016920004</v>
      </c>
      <c r="P30" s="10">
        <f t="shared" si="9"/>
        <v>8720022.9655000027</v>
      </c>
      <c r="Q30" s="10">
        <f t="shared" si="9"/>
        <v>8714992.1030800026</v>
      </c>
      <c r="R30" s="10">
        <f t="shared" si="9"/>
        <v>8718709.7636200041</v>
      </c>
      <c r="S30" s="10">
        <f t="shared" si="9"/>
        <v>8722427.4241600037</v>
      </c>
      <c r="T30" s="10">
        <f t="shared" si="9"/>
        <v>8726145.0847000033</v>
      </c>
      <c r="U30" s="10">
        <f t="shared" si="9"/>
        <v>8729862.7452400029</v>
      </c>
      <c r="V30" s="10">
        <f t="shared" si="9"/>
        <v>8733580.4057800025</v>
      </c>
      <c r="W30" s="10">
        <f t="shared" si="9"/>
        <v>8737298.0663200021</v>
      </c>
      <c r="X30" s="10">
        <f t="shared" si="9"/>
        <v>8741015.7268600017</v>
      </c>
      <c r="Y30" s="10">
        <f t="shared" si="9"/>
        <v>8744733.3874000032</v>
      </c>
      <c r="Z30" s="10">
        <f>SUM(F30:Y30)</f>
        <v>146145837.94093359</v>
      </c>
    </row>
    <row r="31" spans="1:26" s="3" customFormat="1" x14ac:dyDescent="0.2">
      <c r="F31" s="10">
        <f>F30-F29</f>
        <v>-83017109.636688009</v>
      </c>
      <c r="G31" s="10">
        <f t="shared" ref="G31:Y31" si="10">G30-G29</f>
        <v>690807.61143853981</v>
      </c>
      <c r="H31" s="10">
        <f t="shared" si="10"/>
        <v>2102461.3585750028</v>
      </c>
      <c r="I31" s="10">
        <f t="shared" si="10"/>
        <v>4428206.7254400039</v>
      </c>
      <c r="J31" s="10">
        <f t="shared" si="10"/>
        <v>6697423.9740200024</v>
      </c>
      <c r="K31" s="10">
        <f t="shared" si="10"/>
        <v>8966641.2226000018</v>
      </c>
      <c r="L31" s="10">
        <f t="shared" si="10"/>
        <v>8977135.6711800024</v>
      </c>
      <c r="M31" s="10">
        <f t="shared" si="10"/>
        <v>8987630.1197600029</v>
      </c>
      <c r="N31" s="10">
        <f t="shared" si="10"/>
        <v>8998124.5683400035</v>
      </c>
      <c r="O31" s="10">
        <f t="shared" si="10"/>
        <v>9008619.016920004</v>
      </c>
      <c r="P31" s="10">
        <f t="shared" si="10"/>
        <v>8720022.9655000027</v>
      </c>
      <c r="Q31" s="10">
        <f t="shared" si="10"/>
        <v>8714992.1030800026</v>
      </c>
      <c r="R31" s="10">
        <f t="shared" si="10"/>
        <v>8718709.7636200041</v>
      </c>
      <c r="S31" s="10">
        <f t="shared" si="10"/>
        <v>8722427.4241600037</v>
      </c>
      <c r="T31" s="10">
        <f t="shared" si="10"/>
        <v>8726145.0847000033</v>
      </c>
      <c r="U31" s="10">
        <f t="shared" si="10"/>
        <v>8729862.7452400029</v>
      </c>
      <c r="V31" s="10">
        <f t="shared" si="10"/>
        <v>8733580.4057800025</v>
      </c>
      <c r="W31" s="10">
        <f t="shared" si="10"/>
        <v>8737298.0663200021</v>
      </c>
      <c r="X31" s="10">
        <f t="shared" si="10"/>
        <v>8741015.7268600017</v>
      </c>
      <c r="Y31" s="10">
        <f t="shared" si="10"/>
        <v>8744733.3874000032</v>
      </c>
      <c r="Z31" s="10">
        <f>SUM(F31:Y31)</f>
        <v>63128728.304245584</v>
      </c>
    </row>
    <row r="32" spans="1:26" s="3" customFormat="1" x14ac:dyDescent="0.2">
      <c r="A32" s="3" t="s">
        <v>241</v>
      </c>
      <c r="F32" s="10">
        <f>F31</f>
        <v>-83017109.636688009</v>
      </c>
      <c r="G32" s="10">
        <f>F32+G31</f>
        <v>-82326302.025249466</v>
      </c>
      <c r="H32" s="10">
        <f t="shared" ref="H32:Y32" si="11">G32+H31</f>
        <v>-80223840.666674465</v>
      </c>
      <c r="I32" s="10">
        <f t="shared" si="11"/>
        <v>-75795633.941234455</v>
      </c>
      <c r="J32" s="10">
        <f t="shared" si="11"/>
        <v>-69098209.96721445</v>
      </c>
      <c r="K32" s="10">
        <f t="shared" si="11"/>
        <v>-60131568.744614452</v>
      </c>
      <c r="L32" s="10">
        <f t="shared" si="11"/>
        <v>-51154433.07343445</v>
      </c>
      <c r="M32" s="10">
        <f t="shared" si="11"/>
        <v>-42166802.953674451</v>
      </c>
      <c r="N32" s="10">
        <f t="shared" si="11"/>
        <v>-33168678.385334447</v>
      </c>
      <c r="O32" s="10">
        <f t="shared" si="11"/>
        <v>-24160059.368414443</v>
      </c>
      <c r="P32" s="10">
        <f t="shared" si="11"/>
        <v>-15440036.40291444</v>
      </c>
      <c r="Q32" s="10">
        <f t="shared" si="11"/>
        <v>-6725044.2998344377</v>
      </c>
      <c r="R32" s="10">
        <f t="shared" si="11"/>
        <v>1993665.4637855664</v>
      </c>
      <c r="S32" s="10">
        <f t="shared" si="11"/>
        <v>10716092.88794557</v>
      </c>
      <c r="T32" s="10">
        <f t="shared" si="11"/>
        <v>19442237.972645573</v>
      </c>
      <c r="U32" s="10">
        <f t="shared" si="11"/>
        <v>28172100.717885576</v>
      </c>
      <c r="V32" s="10">
        <f t="shared" si="11"/>
        <v>36905681.123665579</v>
      </c>
      <c r="W32" s="10">
        <f t="shared" si="11"/>
        <v>45642979.189985581</v>
      </c>
      <c r="X32" s="10">
        <f t="shared" si="11"/>
        <v>54383994.916845582</v>
      </c>
      <c r="Y32" s="10">
        <f t="shared" si="11"/>
        <v>63128728.304245584</v>
      </c>
    </row>
    <row r="33" spans="1:25" s="3" customFormat="1" x14ac:dyDescent="0.2">
      <c r="F33" s="10">
        <f>IF(F32&lt;0,1,0)</f>
        <v>1</v>
      </c>
      <c r="G33" s="10">
        <f t="shared" ref="G33:Y33" si="12">IF(G32&lt;0,1,0)</f>
        <v>1</v>
      </c>
      <c r="H33" s="10">
        <f t="shared" si="12"/>
        <v>1</v>
      </c>
      <c r="I33" s="10">
        <f t="shared" si="12"/>
        <v>1</v>
      </c>
      <c r="J33" s="10">
        <f t="shared" si="12"/>
        <v>1</v>
      </c>
      <c r="K33" s="10">
        <f t="shared" si="12"/>
        <v>1</v>
      </c>
      <c r="L33" s="10">
        <f t="shared" si="12"/>
        <v>1</v>
      </c>
      <c r="M33" s="10">
        <f t="shared" si="12"/>
        <v>1</v>
      </c>
      <c r="N33" s="10">
        <f t="shared" si="12"/>
        <v>1</v>
      </c>
      <c r="O33" s="10">
        <f t="shared" si="12"/>
        <v>1</v>
      </c>
      <c r="P33" s="10">
        <f t="shared" si="12"/>
        <v>1</v>
      </c>
      <c r="Q33" s="10">
        <f t="shared" si="12"/>
        <v>1</v>
      </c>
      <c r="R33" s="10">
        <f t="shared" si="12"/>
        <v>0</v>
      </c>
      <c r="S33" s="10">
        <f t="shared" si="12"/>
        <v>0</v>
      </c>
      <c r="T33" s="10">
        <f t="shared" si="12"/>
        <v>0</v>
      </c>
      <c r="U33" s="10">
        <f t="shared" si="12"/>
        <v>0</v>
      </c>
      <c r="V33" s="10">
        <f t="shared" si="12"/>
        <v>0</v>
      </c>
      <c r="W33" s="10">
        <f t="shared" si="12"/>
        <v>0</v>
      </c>
      <c r="X33" s="10">
        <f t="shared" si="12"/>
        <v>0</v>
      </c>
      <c r="Y33" s="10">
        <f t="shared" si="12"/>
        <v>0</v>
      </c>
    </row>
    <row r="34" spans="1:25" s="3" customFormat="1" x14ac:dyDescent="0.2"/>
    <row r="35" spans="1:25" s="3" customFormat="1" x14ac:dyDescent="0.2">
      <c r="A35" s="3" t="s">
        <v>230</v>
      </c>
      <c r="B35" s="27">
        <v>0.2</v>
      </c>
    </row>
    <row r="36" spans="1:25" s="3" customFormat="1" x14ac:dyDescent="0.2">
      <c r="A36" s="3" t="s">
        <v>237</v>
      </c>
      <c r="B36" s="77">
        <f>B35/4</f>
        <v>0.05</v>
      </c>
    </row>
    <row r="37" spans="1:25" s="3" customFormat="1" x14ac:dyDescent="0.2">
      <c r="A37" s="3" t="s">
        <v>231</v>
      </c>
      <c r="B37" s="10">
        <f>SUM(V31:Y31)</f>
        <v>34956627.586360008</v>
      </c>
    </row>
    <row r="38" spans="1:25" s="3" customFormat="1" ht="15" x14ac:dyDescent="0.25">
      <c r="A38" s="9" t="s">
        <v>238</v>
      </c>
      <c r="B38" s="13">
        <f>B37/B35</f>
        <v>174783137.93180004</v>
      </c>
    </row>
    <row r="39" spans="1:25" s="3" customFormat="1" x14ac:dyDescent="0.2"/>
    <row r="40" spans="1:25" s="3" customFormat="1" x14ac:dyDescent="0.2">
      <c r="A40" s="3" t="s">
        <v>233</v>
      </c>
      <c r="F40" s="10">
        <f t="shared" ref="F40:X40" si="13">F31</f>
        <v>-83017109.636688009</v>
      </c>
      <c r="G40" s="10">
        <f t="shared" si="13"/>
        <v>690807.61143853981</v>
      </c>
      <c r="H40" s="10">
        <f t="shared" si="13"/>
        <v>2102461.3585750028</v>
      </c>
      <c r="I40" s="10">
        <f t="shared" si="13"/>
        <v>4428206.7254400039</v>
      </c>
      <c r="J40" s="10">
        <f t="shared" si="13"/>
        <v>6697423.9740200024</v>
      </c>
      <c r="K40" s="10">
        <f t="shared" si="13"/>
        <v>8966641.2226000018</v>
      </c>
      <c r="L40" s="10">
        <f t="shared" si="13"/>
        <v>8977135.6711800024</v>
      </c>
      <c r="M40" s="10">
        <f t="shared" si="13"/>
        <v>8987630.1197600029</v>
      </c>
      <c r="N40" s="10">
        <f t="shared" si="13"/>
        <v>8998124.5683400035</v>
      </c>
      <c r="O40" s="10">
        <f t="shared" si="13"/>
        <v>9008619.016920004</v>
      </c>
      <c r="P40" s="10">
        <f t="shared" si="13"/>
        <v>8720022.9655000027</v>
      </c>
      <c r="Q40" s="10">
        <f t="shared" si="13"/>
        <v>8714992.1030800026</v>
      </c>
      <c r="R40" s="10">
        <f t="shared" si="13"/>
        <v>8718709.7636200041</v>
      </c>
      <c r="S40" s="10">
        <f t="shared" si="13"/>
        <v>8722427.4241600037</v>
      </c>
      <c r="T40" s="10">
        <f t="shared" si="13"/>
        <v>8726145.0847000033</v>
      </c>
      <c r="U40" s="10">
        <f t="shared" si="13"/>
        <v>8729862.7452400029</v>
      </c>
      <c r="V40" s="10">
        <f t="shared" si="13"/>
        <v>8733580.4057800025</v>
      </c>
      <c r="W40" s="10">
        <f t="shared" si="13"/>
        <v>8737298.0663200021</v>
      </c>
      <c r="X40" s="10">
        <f t="shared" si="13"/>
        <v>8741015.7268600017</v>
      </c>
      <c r="Y40" s="10">
        <f>Y31+B38</f>
        <v>183527871.31920004</v>
      </c>
    </row>
    <row r="41" spans="1:25" s="3" customFormat="1" x14ac:dyDescent="0.2"/>
    <row r="42" spans="1:25" s="3" customFormat="1" x14ac:dyDescent="0.2"/>
    <row r="43" spans="1:25" s="3" customFormat="1" x14ac:dyDescent="0.2"/>
    <row r="44" spans="1:25" s="3" customFormat="1" ht="15" x14ac:dyDescent="0.25">
      <c r="A44" s="9" t="s">
        <v>232</v>
      </c>
      <c r="B44" s="13">
        <f>NPV(B36,F31:Y31)</f>
        <v>4127387.4213105449</v>
      </c>
    </row>
    <row r="45" spans="1:25" s="3" customFormat="1" ht="15" x14ac:dyDescent="0.25">
      <c r="A45" s="9" t="s">
        <v>234</v>
      </c>
      <c r="B45" s="13">
        <f>NPV(B36,F40:Y40)</f>
        <v>70001313.891346946</v>
      </c>
    </row>
    <row r="46" spans="1:25" s="3" customFormat="1" x14ac:dyDescent="0.2"/>
    <row r="47" spans="1:25" s="3" customFormat="1" x14ac:dyDescent="0.2">
      <c r="B47" s="3" t="s">
        <v>239</v>
      </c>
      <c r="C47" s="3" t="s">
        <v>240</v>
      </c>
    </row>
    <row r="48" spans="1:25" s="3" customFormat="1" ht="15" x14ac:dyDescent="0.25">
      <c r="A48" s="9" t="s">
        <v>235</v>
      </c>
      <c r="B48" s="84">
        <f>IRR(F31:Y31)</f>
        <v>5.5400372932514097E-2</v>
      </c>
      <c r="C48" s="84">
        <f>B48*4</f>
        <v>0.22160149173005639</v>
      </c>
    </row>
    <row r="49" spans="1:8" s="3" customFormat="1" ht="15" x14ac:dyDescent="0.25">
      <c r="A49" s="9" t="s">
        <v>236</v>
      </c>
      <c r="B49" s="84">
        <f>IRR(F40:Y40)</f>
        <v>0.10195633967034934</v>
      </c>
      <c r="C49" s="84">
        <f>B49*4</f>
        <v>0.40782535868139735</v>
      </c>
    </row>
    <row r="50" spans="1:8" s="3" customFormat="1" x14ac:dyDescent="0.2"/>
    <row r="51" spans="1:8" s="3" customFormat="1" ht="15" x14ac:dyDescent="0.25">
      <c r="A51" s="9" t="s">
        <v>227</v>
      </c>
      <c r="B51" s="13">
        <f>SUM(F33:Y33)</f>
        <v>12</v>
      </c>
      <c r="C51" s="9">
        <f>B51/4</f>
        <v>3</v>
      </c>
    </row>
    <row r="52" spans="1:8" s="41" customFormat="1" ht="15" thickBot="1" x14ac:dyDescent="0.25"/>
    <row r="53" spans="1:8" ht="15" thickTop="1" x14ac:dyDescent="0.2"/>
    <row r="54" spans="1:8" ht="15" thickBot="1" x14ac:dyDescent="0.25"/>
    <row r="55" spans="1:8" s="36" customFormat="1" ht="27" thickTop="1" x14ac:dyDescent="0.4">
      <c r="A55" s="385" t="s">
        <v>177</v>
      </c>
      <c r="B55" s="385"/>
      <c r="C55" s="385"/>
      <c r="D55" s="385"/>
      <c r="E55" s="385"/>
      <c r="F55" s="385"/>
      <c r="G55" s="385"/>
      <c r="H55" s="385"/>
    </row>
    <row r="56" spans="1:8" s="37" customFormat="1" x14ac:dyDescent="0.2"/>
    <row r="57" spans="1:8" s="37" customFormat="1" x14ac:dyDescent="0.2"/>
    <row r="58" spans="1:8" s="37" customFormat="1" x14ac:dyDescent="0.2"/>
    <row r="59" spans="1:8" s="37" customFormat="1" x14ac:dyDescent="0.2"/>
    <row r="60" spans="1:8" s="37" customFormat="1" x14ac:dyDescent="0.2"/>
    <row r="61" spans="1:8" s="37" customFormat="1" x14ac:dyDescent="0.2"/>
    <row r="62" spans="1:8" s="37" customFormat="1" x14ac:dyDescent="0.2"/>
    <row r="63" spans="1:8" s="37" customFormat="1" x14ac:dyDescent="0.2"/>
    <row r="64" spans="1:8" s="37" customFormat="1" x14ac:dyDescent="0.2"/>
    <row r="65" s="37" customFormat="1" x14ac:dyDescent="0.2"/>
    <row r="66" s="37" customFormat="1" x14ac:dyDescent="0.2"/>
    <row r="67" s="37" customFormat="1" x14ac:dyDescent="0.2"/>
    <row r="68" s="37" customFormat="1" x14ac:dyDescent="0.2"/>
    <row r="69" s="37" customFormat="1" x14ac:dyDescent="0.2"/>
    <row r="70" s="37" customFormat="1" x14ac:dyDescent="0.2"/>
    <row r="71" s="37" customFormat="1" x14ac:dyDescent="0.2"/>
    <row r="72" s="37" customFormat="1" x14ac:dyDescent="0.2"/>
    <row r="73" s="38" customFormat="1" ht="15" thickBot="1" x14ac:dyDescent="0.25"/>
    <row r="74" ht="15" thickTop="1" x14ac:dyDescent="0.2"/>
  </sheetData>
  <mergeCells count="12">
    <mergeCell ref="V10:Y10"/>
    <mergeCell ref="A55:H55"/>
    <mergeCell ref="A2:H2"/>
    <mergeCell ref="F10:I10"/>
    <mergeCell ref="J10:M10"/>
    <mergeCell ref="N10:Q10"/>
    <mergeCell ref="R10:U10"/>
    <mergeCell ref="F27:I27"/>
    <mergeCell ref="J27:M27"/>
    <mergeCell ref="N27:Q27"/>
    <mergeCell ref="R27:U27"/>
    <mergeCell ref="V27:Y2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-0.249977111117893"/>
  </sheetPr>
  <dimension ref="A1:Z57"/>
  <sheetViews>
    <sheetView workbookViewId="0">
      <selection activeCell="F24" sqref="F24"/>
    </sheetView>
  </sheetViews>
  <sheetFormatPr defaultColWidth="29.42578125" defaultRowHeight="14.25" x14ac:dyDescent="0.2"/>
  <cols>
    <col min="1" max="1" width="64.7109375" style="1" bestFit="1" customWidth="1"/>
    <col min="2" max="2" width="14.7109375" style="1" customWidth="1"/>
    <col min="3" max="3" width="6.5703125" style="1" customWidth="1"/>
    <col min="4" max="5" width="29.42578125" style="1"/>
    <col min="6" max="7" width="12" style="1" bestFit="1" customWidth="1"/>
    <col min="8" max="8" width="12.42578125" style="1" customWidth="1"/>
    <col min="9" max="15" width="12" style="1" bestFit="1" customWidth="1"/>
    <col min="16" max="17" width="12.140625" style="1" customWidth="1"/>
    <col min="18" max="18" width="11.85546875" style="1" customWidth="1"/>
    <col min="19" max="21" width="11.28515625" style="1" bestFit="1" customWidth="1"/>
    <col min="22" max="22" width="11.28515625" style="1" customWidth="1"/>
    <col min="23" max="24" width="11.28515625" style="1" bestFit="1" customWidth="1"/>
    <col min="25" max="26" width="12.42578125" style="1" bestFit="1" customWidth="1"/>
    <col min="27" max="16384" width="29.42578125" style="1"/>
  </cols>
  <sheetData>
    <row r="1" spans="1:26" ht="15" thickBot="1" x14ac:dyDescent="0.25"/>
    <row r="2" spans="1:26" s="2" customFormat="1" ht="27" thickTop="1" x14ac:dyDescent="0.4">
      <c r="A2" s="384" t="s">
        <v>272</v>
      </c>
      <c r="B2" s="384"/>
      <c r="C2" s="384"/>
      <c r="D2" s="384"/>
      <c r="E2" s="384"/>
      <c r="F2" s="384"/>
      <c r="G2" s="384"/>
      <c r="H2" s="384"/>
    </row>
    <row r="3" spans="1:26" s="3" customFormat="1" x14ac:dyDescent="0.2"/>
    <row r="4" spans="1:26" s="3" customFormat="1" x14ac:dyDescent="0.2">
      <c r="F4" s="356" t="s">
        <v>34</v>
      </c>
      <c r="G4" s="356"/>
      <c r="H4" s="356"/>
      <c r="I4" s="356"/>
      <c r="J4" s="356" t="s">
        <v>35</v>
      </c>
      <c r="K4" s="356"/>
      <c r="L4" s="356"/>
      <c r="M4" s="356"/>
      <c r="N4" s="356" t="s">
        <v>36</v>
      </c>
      <c r="O4" s="356"/>
      <c r="P4" s="356"/>
      <c r="Q4" s="356"/>
      <c r="R4" s="356" t="s">
        <v>37</v>
      </c>
      <c r="S4" s="356"/>
      <c r="T4" s="356"/>
      <c r="U4" s="356"/>
      <c r="V4" s="356" t="s">
        <v>38</v>
      </c>
      <c r="W4" s="356"/>
      <c r="X4" s="356"/>
      <c r="Y4" s="356"/>
    </row>
    <row r="5" spans="1:26" s="3" customFormat="1" x14ac:dyDescent="0.2">
      <c r="F5" s="3" t="str">
        <f>'Параметры Доходы'!F4</f>
        <v>1 кв.</v>
      </c>
      <c r="G5" s="3" t="str">
        <f>'Параметры Доходы'!G4</f>
        <v>2 кв.</v>
      </c>
      <c r="H5" s="3" t="str">
        <f>'Параметры Доходы'!H4</f>
        <v>3 кв.</v>
      </c>
      <c r="I5" s="3" t="str">
        <f>'Параметры Доходы'!I4</f>
        <v>4 кв.</v>
      </c>
      <c r="J5" s="3" t="str">
        <f>'Параметры Доходы'!J4</f>
        <v>5 кв.</v>
      </c>
      <c r="K5" s="3" t="str">
        <f>'Параметры Доходы'!K4</f>
        <v>6 кв.</v>
      </c>
      <c r="L5" s="3" t="str">
        <f>'Параметры Доходы'!L4</f>
        <v>7 кв.</v>
      </c>
      <c r="M5" s="3" t="str">
        <f>'Параметры Доходы'!M4</f>
        <v>8 кв.</v>
      </c>
      <c r="N5" s="3" t="str">
        <f>'Параметры Доходы'!N4</f>
        <v>9 кв.</v>
      </c>
      <c r="O5" s="3" t="str">
        <f>'Параметры Доходы'!O4</f>
        <v>10 кв.</v>
      </c>
      <c r="P5" s="3" t="str">
        <f>'Параметры Доходы'!P4</f>
        <v>11 кв.</v>
      </c>
      <c r="Q5" s="3" t="str">
        <f>'Параметры Доходы'!Q4</f>
        <v>12 кв.</v>
      </c>
      <c r="R5" s="3" t="str">
        <f>'Параметры Доходы'!R4</f>
        <v>13 кв.</v>
      </c>
      <c r="S5" s="3" t="str">
        <f>'Параметры Доходы'!S4</f>
        <v>14 кв.</v>
      </c>
      <c r="T5" s="3" t="str">
        <f>'Параметры Доходы'!T4</f>
        <v>15 кв.</v>
      </c>
      <c r="U5" s="3" t="str">
        <f>'Параметры Доходы'!U4</f>
        <v>16 кв.</v>
      </c>
      <c r="V5" s="3" t="str">
        <f>'Параметры Доходы'!V4</f>
        <v>17 кв.</v>
      </c>
      <c r="W5" s="3" t="str">
        <f>'Параметры Доходы'!W4</f>
        <v>18 кв.</v>
      </c>
      <c r="X5" s="3" t="str">
        <f>'Параметры Доходы'!X4</f>
        <v>19 кв.</v>
      </c>
      <c r="Y5" s="3" t="str">
        <f>'Параметры Доходы'!Y4</f>
        <v>20 кв.</v>
      </c>
    </row>
    <row r="6" spans="1:26" s="3" customFormat="1" x14ac:dyDescent="0.2">
      <c r="A6" s="3" t="s">
        <v>225</v>
      </c>
      <c r="F6" s="10">
        <f>SUM('Параметры инвестиции'!C15:E15)</f>
        <v>44854717.467869267</v>
      </c>
      <c r="G6" s="10">
        <f>SUM('Параметры инвестиции'!F15:H15)</f>
        <v>38162392.168818742</v>
      </c>
      <c r="H6" s="10"/>
      <c r="I6" s="10"/>
      <c r="J6" s="10"/>
      <c r="K6" s="10"/>
      <c r="L6" s="10"/>
      <c r="M6" s="10"/>
      <c r="N6" s="10"/>
      <c r="O6" s="10"/>
      <c r="Z6" s="10">
        <f>SUM(F6:Y6)</f>
        <v>83017109.636688009</v>
      </c>
    </row>
    <row r="7" spans="1:26" s="3" customFormat="1" x14ac:dyDescent="0.2">
      <c r="A7" s="3" t="s">
        <v>226</v>
      </c>
      <c r="F7" s="10">
        <f>'Возврат инвестиций'!F16</f>
        <v>-5143647.2782630194</v>
      </c>
      <c r="G7" s="10">
        <f>'Возврат инвестиций'!G16</f>
        <v>690807.61143853981</v>
      </c>
      <c r="H7" s="10">
        <f>'Возврат инвестиций'!H16</f>
        <v>2102461.3585750028</v>
      </c>
      <c r="I7" s="10">
        <f>'Возврат инвестиций'!I16</f>
        <v>4428206.7254400039</v>
      </c>
      <c r="J7" s="10">
        <f>'Возврат инвестиций'!J16</f>
        <v>6697423.9740200024</v>
      </c>
      <c r="K7" s="10">
        <f>'Возврат инвестиций'!K16</f>
        <v>8966641.2226000018</v>
      </c>
      <c r="L7" s="10">
        <f>'Возврат инвестиций'!L16</f>
        <v>8977135.6711800024</v>
      </c>
      <c r="M7" s="10">
        <f>'Возврат инвестиций'!M16</f>
        <v>8987630.1197600029</v>
      </c>
      <c r="N7" s="10">
        <f>'Возврат инвестиций'!N16</f>
        <v>8998124.5683400035</v>
      </c>
      <c r="O7" s="10">
        <f>'Возврат инвестиций'!O16</f>
        <v>9008619.016920004</v>
      </c>
      <c r="P7" s="10">
        <f>'Возврат инвестиций'!P16</f>
        <v>8720022.9655000027</v>
      </c>
      <c r="Q7" s="10">
        <f>'Возврат инвестиций'!Q16</f>
        <v>8714992.1030800026</v>
      </c>
      <c r="R7" s="10">
        <f>'Возврат инвестиций'!R16</f>
        <v>8718709.7636200041</v>
      </c>
      <c r="S7" s="10">
        <f>'Возврат инвестиций'!S16</f>
        <v>8722427.4241600037</v>
      </c>
      <c r="T7" s="10">
        <f>'Возврат инвестиций'!T16</f>
        <v>8726145.0847000033</v>
      </c>
      <c r="U7" s="10">
        <f>'Возврат инвестиций'!U16</f>
        <v>8729862.7452400029</v>
      </c>
      <c r="V7" s="10">
        <f>'Возврат инвестиций'!V16</f>
        <v>8733580.4057800025</v>
      </c>
      <c r="W7" s="10">
        <f>'Возврат инвестиций'!W16</f>
        <v>8737298.0663200021</v>
      </c>
      <c r="X7" s="10">
        <f>'Возврат инвестиций'!X16</f>
        <v>8741015.7268600017</v>
      </c>
      <c r="Y7" s="10">
        <f>'Возврат инвестиций'!Y16</f>
        <v>8744733.3874000032</v>
      </c>
      <c r="Z7" s="10">
        <f>SUM(F7:Y7)</f>
        <v>141002190.66267058</v>
      </c>
    </row>
    <row r="8" spans="1:26" s="3" customFormat="1" x14ac:dyDescent="0.2">
      <c r="F8" s="10">
        <f>F7-F6</f>
        <v>-49998364.746132284</v>
      </c>
      <c r="G8" s="10">
        <f t="shared" ref="G8:Y8" si="0">G7-G6</f>
        <v>-37471584.557380199</v>
      </c>
      <c r="H8" s="10">
        <f t="shared" si="0"/>
        <v>2102461.3585750028</v>
      </c>
      <c r="I8" s="10">
        <f t="shared" si="0"/>
        <v>4428206.7254400039</v>
      </c>
      <c r="J8" s="10">
        <f t="shared" si="0"/>
        <v>6697423.9740200024</v>
      </c>
      <c r="K8" s="10">
        <f t="shared" si="0"/>
        <v>8966641.2226000018</v>
      </c>
      <c r="L8" s="10">
        <f t="shared" si="0"/>
        <v>8977135.6711800024</v>
      </c>
      <c r="M8" s="10">
        <f t="shared" si="0"/>
        <v>8987630.1197600029</v>
      </c>
      <c r="N8" s="10">
        <f t="shared" si="0"/>
        <v>8998124.5683400035</v>
      </c>
      <c r="O8" s="10">
        <f t="shared" si="0"/>
        <v>9008619.016920004</v>
      </c>
      <c r="P8" s="10">
        <f t="shared" si="0"/>
        <v>8720022.9655000027</v>
      </c>
      <c r="Q8" s="10">
        <f t="shared" si="0"/>
        <v>8714992.1030800026</v>
      </c>
      <c r="R8" s="10">
        <f t="shared" si="0"/>
        <v>8718709.7636200041</v>
      </c>
      <c r="S8" s="10">
        <f t="shared" si="0"/>
        <v>8722427.4241600037</v>
      </c>
      <c r="T8" s="10">
        <f t="shared" si="0"/>
        <v>8726145.0847000033</v>
      </c>
      <c r="U8" s="10">
        <f t="shared" si="0"/>
        <v>8729862.7452400029</v>
      </c>
      <c r="V8" s="10">
        <f t="shared" si="0"/>
        <v>8733580.4057800025</v>
      </c>
      <c r="W8" s="10">
        <f t="shared" si="0"/>
        <v>8737298.0663200021</v>
      </c>
      <c r="X8" s="10">
        <f t="shared" si="0"/>
        <v>8741015.7268600017</v>
      </c>
      <c r="Y8" s="10">
        <f t="shared" si="0"/>
        <v>8744733.3874000032</v>
      </c>
      <c r="Z8" s="10">
        <f>SUM(F8:Y8)</f>
        <v>57985081.025982566</v>
      </c>
    </row>
    <row r="9" spans="1:26" s="3" customFormat="1" x14ac:dyDescent="0.2">
      <c r="F9" s="10">
        <f>F8</f>
        <v>-49998364.746132284</v>
      </c>
      <c r="G9" s="10">
        <f>F9+G8</f>
        <v>-87469949.303512484</v>
      </c>
      <c r="H9" s="10">
        <f t="shared" ref="H9:Y9" si="1">G9+H8</f>
        <v>-85367487.944937482</v>
      </c>
      <c r="I9" s="10">
        <f t="shared" si="1"/>
        <v>-80939281.219497472</v>
      </c>
      <c r="J9" s="10">
        <f t="shared" si="1"/>
        <v>-74241857.245477468</v>
      </c>
      <c r="K9" s="10">
        <f t="shared" si="1"/>
        <v>-65275216.02287747</v>
      </c>
      <c r="L9" s="10">
        <f t="shared" si="1"/>
        <v>-56298080.351697467</v>
      </c>
      <c r="M9" s="10">
        <f t="shared" si="1"/>
        <v>-47310450.231937468</v>
      </c>
      <c r="N9" s="10">
        <f t="shared" si="1"/>
        <v>-38312325.663597465</v>
      </c>
      <c r="O9" s="10">
        <f t="shared" si="1"/>
        <v>-29303706.646677461</v>
      </c>
      <c r="P9" s="10">
        <f t="shared" si="1"/>
        <v>-20583683.68117746</v>
      </c>
      <c r="Q9" s="10">
        <f t="shared" si="1"/>
        <v>-11868691.578097457</v>
      </c>
      <c r="R9" s="10">
        <f t="shared" si="1"/>
        <v>-3149981.814477453</v>
      </c>
      <c r="S9" s="10">
        <f t="shared" si="1"/>
        <v>5572445.6096825507</v>
      </c>
      <c r="T9" s="10">
        <f t="shared" si="1"/>
        <v>14298590.694382554</v>
      </c>
      <c r="U9" s="10">
        <f t="shared" si="1"/>
        <v>23028453.439622559</v>
      </c>
      <c r="V9" s="10">
        <f t="shared" si="1"/>
        <v>31762033.845402561</v>
      </c>
      <c r="W9" s="10">
        <f t="shared" si="1"/>
        <v>40499331.911722563</v>
      </c>
      <c r="X9" s="10">
        <f t="shared" si="1"/>
        <v>49240347.638582565</v>
      </c>
      <c r="Y9" s="10">
        <f t="shared" si="1"/>
        <v>57985081.025982566</v>
      </c>
    </row>
    <row r="10" spans="1:26" s="3" customFormat="1" x14ac:dyDescent="0.2">
      <c r="F10" s="3">
        <f>IF(F9&lt;0,1,0)</f>
        <v>1</v>
      </c>
      <c r="G10" s="3">
        <f t="shared" ref="G10:Y10" si="2">IF(G9&lt;0,1,0)</f>
        <v>1</v>
      </c>
      <c r="H10" s="3">
        <f t="shared" si="2"/>
        <v>1</v>
      </c>
      <c r="I10" s="3">
        <f t="shared" si="2"/>
        <v>1</v>
      </c>
      <c r="J10" s="3">
        <f t="shared" si="2"/>
        <v>1</v>
      </c>
      <c r="K10" s="3">
        <f t="shared" si="2"/>
        <v>1</v>
      </c>
      <c r="L10" s="3">
        <f t="shared" si="2"/>
        <v>1</v>
      </c>
      <c r="M10" s="3">
        <f t="shared" si="2"/>
        <v>1</v>
      </c>
      <c r="N10" s="3">
        <f t="shared" si="2"/>
        <v>1</v>
      </c>
      <c r="O10" s="3">
        <f t="shared" si="2"/>
        <v>1</v>
      </c>
      <c r="P10" s="3">
        <f t="shared" si="2"/>
        <v>1</v>
      </c>
      <c r="Q10" s="3">
        <f t="shared" si="2"/>
        <v>1</v>
      </c>
      <c r="R10" s="3">
        <f t="shared" si="2"/>
        <v>1</v>
      </c>
      <c r="S10" s="3">
        <f t="shared" si="2"/>
        <v>0</v>
      </c>
      <c r="T10" s="3">
        <f t="shared" si="2"/>
        <v>0</v>
      </c>
      <c r="U10" s="3">
        <f t="shared" si="2"/>
        <v>0</v>
      </c>
      <c r="V10" s="3">
        <f t="shared" si="2"/>
        <v>0</v>
      </c>
      <c r="W10" s="3">
        <f t="shared" si="2"/>
        <v>0</v>
      </c>
      <c r="X10" s="3">
        <f t="shared" si="2"/>
        <v>0</v>
      </c>
      <c r="Y10" s="3">
        <f t="shared" si="2"/>
        <v>0</v>
      </c>
    </row>
    <row r="11" spans="1:26" s="3" customFormat="1" x14ac:dyDescent="0.2">
      <c r="A11" s="3" t="s">
        <v>233</v>
      </c>
      <c r="F11" s="10">
        <f>F8</f>
        <v>-49998364.746132284</v>
      </c>
      <c r="G11" s="10">
        <f t="shared" ref="G11:W11" si="3">G8</f>
        <v>-37471584.557380199</v>
      </c>
      <c r="H11" s="10">
        <f t="shared" si="3"/>
        <v>2102461.3585750028</v>
      </c>
      <c r="I11" s="10">
        <f t="shared" si="3"/>
        <v>4428206.7254400039</v>
      </c>
      <c r="J11" s="10">
        <f t="shared" si="3"/>
        <v>6697423.9740200024</v>
      </c>
      <c r="K11" s="10">
        <f t="shared" si="3"/>
        <v>8966641.2226000018</v>
      </c>
      <c r="L11" s="10">
        <f t="shared" si="3"/>
        <v>8977135.6711800024</v>
      </c>
      <c r="M11" s="10">
        <f t="shared" si="3"/>
        <v>8987630.1197600029</v>
      </c>
      <c r="N11" s="10">
        <f t="shared" si="3"/>
        <v>8998124.5683400035</v>
      </c>
      <c r="O11" s="10">
        <f t="shared" si="3"/>
        <v>9008619.016920004</v>
      </c>
      <c r="P11" s="10">
        <f t="shared" si="3"/>
        <v>8720022.9655000027</v>
      </c>
      <c r="Q11" s="10">
        <f t="shared" si="3"/>
        <v>8714992.1030800026</v>
      </c>
      <c r="R11" s="10">
        <f t="shared" si="3"/>
        <v>8718709.7636200041</v>
      </c>
      <c r="S11" s="10">
        <f t="shared" si="3"/>
        <v>8722427.4241600037</v>
      </c>
      <c r="T11" s="10">
        <f t="shared" si="3"/>
        <v>8726145.0847000033</v>
      </c>
      <c r="U11" s="10">
        <f t="shared" si="3"/>
        <v>8729862.7452400029</v>
      </c>
      <c r="V11" s="10">
        <f t="shared" si="3"/>
        <v>8733580.4057800025</v>
      </c>
      <c r="W11" s="10">
        <f t="shared" si="3"/>
        <v>8737298.0663200021</v>
      </c>
      <c r="X11" s="10">
        <f>X8</f>
        <v>8741015.7268600017</v>
      </c>
      <c r="Y11" s="10">
        <f>Y8+B16</f>
        <v>183527871.31920004</v>
      </c>
    </row>
    <row r="12" spans="1:26" s="3" customFormat="1" x14ac:dyDescent="0.2"/>
    <row r="13" spans="1:26" s="3" customFormat="1" x14ac:dyDescent="0.2">
      <c r="B13" s="3" t="s">
        <v>242</v>
      </c>
      <c r="C13" s="3" t="s">
        <v>243</v>
      </c>
    </row>
    <row r="14" spans="1:26" s="3" customFormat="1" ht="15" x14ac:dyDescent="0.25">
      <c r="A14" s="9" t="s">
        <v>227</v>
      </c>
      <c r="B14" s="9">
        <f>SUM(F10:Y10)</f>
        <v>13</v>
      </c>
      <c r="C14" s="9">
        <f>B14/4</f>
        <v>3.25</v>
      </c>
    </row>
    <row r="15" spans="1:26" s="3" customFormat="1" x14ac:dyDescent="0.2"/>
    <row r="16" spans="1:26" s="3" customFormat="1" x14ac:dyDescent="0.2">
      <c r="A16" s="3" t="str">
        <f>'Возврат инвестиций'!A38</f>
        <v>Стоимость создаваемого бизнеса в конце срока планирования</v>
      </c>
      <c r="B16" s="10">
        <f>'Возврат инвестиций'!B38</f>
        <v>174783137.93180004</v>
      </c>
    </row>
    <row r="17" spans="1:3" s="3" customFormat="1" x14ac:dyDescent="0.2"/>
    <row r="18" spans="1:3" s="3" customFormat="1" x14ac:dyDescent="0.2"/>
    <row r="19" spans="1:3" s="3" customFormat="1" ht="15" x14ac:dyDescent="0.25">
      <c r="A19" s="9" t="s">
        <v>244</v>
      </c>
    </row>
    <row r="20" spans="1:3" s="3" customFormat="1" x14ac:dyDescent="0.2">
      <c r="A20" s="3" t="s">
        <v>245</v>
      </c>
      <c r="B20" s="83">
        <f>'Параметры финансирование'!C16</f>
        <v>1</v>
      </c>
    </row>
    <row r="21" spans="1:3" s="3" customFormat="1" x14ac:dyDescent="0.2">
      <c r="A21" s="3" t="s">
        <v>246</v>
      </c>
      <c r="B21" s="83">
        <f>'Параметры финансирование'!C17</f>
        <v>0</v>
      </c>
    </row>
    <row r="22" spans="1:3" s="3" customFormat="1" x14ac:dyDescent="0.2"/>
    <row r="23" spans="1:3" s="3" customFormat="1" x14ac:dyDescent="0.2">
      <c r="A23" s="3" t="s">
        <v>247</v>
      </c>
      <c r="B23" s="83">
        <f>'Возврат инвестиций'!B35</f>
        <v>0.2</v>
      </c>
    </row>
    <row r="24" spans="1:3" s="3" customFormat="1" x14ac:dyDescent="0.2">
      <c r="A24" s="3" t="s">
        <v>248</v>
      </c>
      <c r="B24" s="83">
        <f>'Параметры финансирование'!B63</f>
        <v>0.16</v>
      </c>
    </row>
    <row r="25" spans="1:3" s="3" customFormat="1" x14ac:dyDescent="0.2">
      <c r="B25" s="83"/>
    </row>
    <row r="26" spans="1:3" s="3" customFormat="1" x14ac:dyDescent="0.2">
      <c r="B26" s="3" t="s">
        <v>242</v>
      </c>
      <c r="C26" s="3" t="s">
        <v>243</v>
      </c>
    </row>
    <row r="27" spans="1:3" s="3" customFormat="1" ht="15" x14ac:dyDescent="0.25">
      <c r="A27" s="9" t="s">
        <v>249</v>
      </c>
      <c r="B27" s="84">
        <f>C27/4</f>
        <v>0.05</v>
      </c>
      <c r="C27" s="84">
        <f>B20*B23+B21*B24</f>
        <v>0.2</v>
      </c>
    </row>
    <row r="28" spans="1:3" s="3" customFormat="1" x14ac:dyDescent="0.2"/>
    <row r="29" spans="1:3" s="3" customFormat="1" x14ac:dyDescent="0.2"/>
    <row r="30" spans="1:3" s="3" customFormat="1" ht="15" x14ac:dyDescent="0.25">
      <c r="A30" s="9" t="s">
        <v>232</v>
      </c>
      <c r="B30" s="13">
        <f>NPV(B27,F8:Y8)</f>
        <v>959396.4610064748</v>
      </c>
    </row>
    <row r="31" spans="1:3" s="3" customFormat="1" ht="15" x14ac:dyDescent="0.25">
      <c r="A31" s="9" t="s">
        <v>250</v>
      </c>
      <c r="B31" s="13">
        <f>NPV(B27,F11:Y11)</f>
        <v>66833322.93104288</v>
      </c>
    </row>
    <row r="32" spans="1:3" s="3" customFormat="1" x14ac:dyDescent="0.2"/>
    <row r="33" spans="1:8" s="3" customFormat="1" x14ac:dyDescent="0.2">
      <c r="B33" s="3" t="s">
        <v>242</v>
      </c>
      <c r="C33" s="3" t="s">
        <v>243</v>
      </c>
    </row>
    <row r="34" spans="1:8" s="3" customFormat="1" ht="15" x14ac:dyDescent="0.25">
      <c r="A34" s="9" t="s">
        <v>235</v>
      </c>
      <c r="B34" s="84">
        <f>IRR(F8:Y8)</f>
        <v>5.12769635302599E-2</v>
      </c>
      <c r="C34" s="84">
        <f>B34*4</f>
        <v>0.2051078541210396</v>
      </c>
    </row>
    <row r="35" spans="1:8" s="3" customFormat="1" ht="15" x14ac:dyDescent="0.25">
      <c r="A35" s="9" t="s">
        <v>251</v>
      </c>
      <c r="B35" s="84">
        <f>IRR(F11:Y11)</f>
        <v>0.10017355575707709</v>
      </c>
      <c r="C35" s="84">
        <f>B35*4</f>
        <v>0.40069422302830837</v>
      </c>
    </row>
    <row r="36" spans="1:8" s="41" customFormat="1" ht="15" thickBot="1" x14ac:dyDescent="0.25"/>
    <row r="37" spans="1:8" ht="15" thickTop="1" x14ac:dyDescent="0.2"/>
    <row r="38" spans="1:8" ht="15" thickBot="1" x14ac:dyDescent="0.25"/>
    <row r="39" spans="1:8" s="36" customFormat="1" ht="27" thickTop="1" x14ac:dyDescent="0.4">
      <c r="A39" s="385" t="s">
        <v>177</v>
      </c>
      <c r="B39" s="385"/>
      <c r="C39" s="385"/>
      <c r="D39" s="385"/>
      <c r="E39" s="385"/>
      <c r="F39" s="385"/>
      <c r="G39" s="385"/>
      <c r="H39" s="385"/>
    </row>
    <row r="40" spans="1:8" s="37" customFormat="1" x14ac:dyDescent="0.2"/>
    <row r="41" spans="1:8" s="37" customFormat="1" x14ac:dyDescent="0.2"/>
    <row r="42" spans="1:8" s="37" customFormat="1" x14ac:dyDescent="0.2"/>
    <row r="43" spans="1:8" s="37" customFormat="1" x14ac:dyDescent="0.2"/>
    <row r="44" spans="1:8" s="37" customFormat="1" x14ac:dyDescent="0.2"/>
    <row r="45" spans="1:8" s="37" customFormat="1" x14ac:dyDescent="0.2"/>
    <row r="46" spans="1:8" s="37" customFormat="1" x14ac:dyDescent="0.2"/>
    <row r="47" spans="1:8" s="37" customFormat="1" x14ac:dyDescent="0.2"/>
    <row r="48" spans="1:8" s="37" customFormat="1" x14ac:dyDescent="0.2"/>
    <row r="49" s="37" customFormat="1" x14ac:dyDescent="0.2"/>
    <row r="50" s="37" customFormat="1" x14ac:dyDescent="0.2"/>
    <row r="51" s="37" customFormat="1" x14ac:dyDescent="0.2"/>
    <row r="52" s="37" customFormat="1" x14ac:dyDescent="0.2"/>
    <row r="53" s="37" customFormat="1" x14ac:dyDescent="0.2"/>
    <row r="54" s="37" customFormat="1" x14ac:dyDescent="0.2"/>
    <row r="55" s="37" customFormat="1" x14ac:dyDescent="0.2"/>
    <row r="56" s="38" customFormat="1" ht="15" thickBot="1" x14ac:dyDescent="0.25"/>
    <row r="57" ht="15" thickTop="1" x14ac:dyDescent="0.2"/>
  </sheetData>
  <mergeCells count="7">
    <mergeCell ref="V4:Y4"/>
    <mergeCell ref="A39:H39"/>
    <mergeCell ref="A2:H2"/>
    <mergeCell ref="F4:I4"/>
    <mergeCell ref="J4:M4"/>
    <mergeCell ref="N4:Q4"/>
    <mergeCell ref="R4:U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-0.249977111117893"/>
  </sheetPr>
  <dimension ref="A1:Y107"/>
  <sheetViews>
    <sheetView topLeftCell="A3" workbookViewId="0">
      <selection activeCell="A5" sqref="A5:XFD5"/>
    </sheetView>
  </sheetViews>
  <sheetFormatPr defaultRowHeight="14.25" x14ac:dyDescent="0.2"/>
  <cols>
    <col min="1" max="1" width="48.140625" style="1" bestFit="1" customWidth="1"/>
    <col min="2" max="2" width="11.28515625" style="1" bestFit="1" customWidth="1"/>
    <col min="3" max="3" width="11.7109375" style="1" bestFit="1" customWidth="1"/>
    <col min="4" max="4" width="13.5703125" style="1" bestFit="1" customWidth="1"/>
    <col min="5" max="5" width="14.85546875" style="1" bestFit="1" customWidth="1"/>
    <col min="6" max="10" width="11.28515625" style="1" bestFit="1" customWidth="1"/>
    <col min="11" max="12" width="11.42578125" style="1" bestFit="1" customWidth="1"/>
    <col min="13" max="13" width="9.140625" style="1"/>
    <col min="14" max="14" width="44.5703125" style="1" bestFit="1" customWidth="1"/>
    <col min="15" max="16" width="13.7109375" style="1" bestFit="1" customWidth="1"/>
    <col min="17" max="20" width="14.42578125" style="1" bestFit="1" customWidth="1"/>
    <col min="21" max="25" width="13.7109375" style="1" bestFit="1" customWidth="1"/>
    <col min="26" max="16384" width="9.140625" style="1"/>
  </cols>
  <sheetData>
    <row r="1" spans="1:25" ht="15" thickBot="1" x14ac:dyDescent="0.25"/>
    <row r="2" spans="1:25" s="2" customFormat="1" ht="27" thickTop="1" x14ac:dyDescent="0.4">
      <c r="A2" s="384" t="s">
        <v>214</v>
      </c>
      <c r="B2" s="384"/>
      <c r="C2" s="384"/>
      <c r="D2" s="384"/>
      <c r="E2" s="384"/>
      <c r="F2" s="384"/>
      <c r="G2" s="384"/>
      <c r="H2" s="384"/>
    </row>
    <row r="3" spans="1:25" s="3" customFormat="1" x14ac:dyDescent="0.2"/>
    <row r="4" spans="1:25" s="3" customFormat="1" x14ac:dyDescent="0.2">
      <c r="A4" s="19" t="s">
        <v>393</v>
      </c>
      <c r="N4" s="364" t="s">
        <v>313</v>
      </c>
      <c r="O4" s="364"/>
      <c r="P4" s="364"/>
      <c r="Q4" s="364"/>
    </row>
    <row r="5" spans="1:25" s="3" customFormat="1" x14ac:dyDescent="0.2">
      <c r="A5" s="3" t="s">
        <v>259</v>
      </c>
      <c r="C5" s="83">
        <v>0.1</v>
      </c>
      <c r="D5" s="83">
        <v>0.2</v>
      </c>
      <c r="E5" s="83">
        <v>0.3</v>
      </c>
      <c r="F5" s="83">
        <v>0.4</v>
      </c>
      <c r="G5" s="83">
        <v>0.5</v>
      </c>
      <c r="H5" s="83">
        <v>0.6</v>
      </c>
      <c r="I5" s="83">
        <v>0.7</v>
      </c>
      <c r="J5" s="83">
        <v>0.8</v>
      </c>
      <c r="K5" s="83">
        <v>0.9</v>
      </c>
      <c r="L5" s="83">
        <v>1</v>
      </c>
      <c r="N5" s="3" t="str">
        <f>A5</f>
        <v>Для расчета точки безубыточности</v>
      </c>
      <c r="O5" s="120"/>
      <c r="P5" s="120">
        <f t="shared" ref="O5:Y13" si="0">C5</f>
        <v>0.1</v>
      </c>
      <c r="Q5" s="120">
        <f t="shared" si="0"/>
        <v>0.2</v>
      </c>
      <c r="R5" s="120">
        <f t="shared" si="0"/>
        <v>0.3</v>
      </c>
      <c r="S5" s="120">
        <v>0.4</v>
      </c>
      <c r="T5" s="120">
        <f t="shared" si="0"/>
        <v>0.5</v>
      </c>
      <c r="U5" s="120">
        <f t="shared" si="0"/>
        <v>0.6</v>
      </c>
      <c r="V5" s="120">
        <f t="shared" si="0"/>
        <v>0.7</v>
      </c>
      <c r="W5" s="120">
        <f t="shared" si="0"/>
        <v>0.8</v>
      </c>
      <c r="X5" s="120">
        <f t="shared" si="0"/>
        <v>0.9</v>
      </c>
      <c r="Y5" s="120">
        <f>L5</f>
        <v>1</v>
      </c>
    </row>
    <row r="6" spans="1:25" s="3" customFormat="1" ht="15" x14ac:dyDescent="0.25">
      <c r="A6" s="3" t="s">
        <v>163</v>
      </c>
      <c r="B6" s="13">
        <f>E25</f>
        <v>66420000</v>
      </c>
      <c r="C6" s="10">
        <f>$B$6*C5</f>
        <v>6642000</v>
      </c>
      <c r="D6" s="10">
        <f t="shared" ref="D6:K6" si="1">$B$6*D5</f>
        <v>13284000</v>
      </c>
      <c r="E6" s="10">
        <f t="shared" si="1"/>
        <v>19926000</v>
      </c>
      <c r="F6" s="10">
        <f t="shared" si="1"/>
        <v>26568000</v>
      </c>
      <c r="G6" s="10">
        <f t="shared" si="1"/>
        <v>33210000</v>
      </c>
      <c r="H6" s="10">
        <f t="shared" si="1"/>
        <v>39852000</v>
      </c>
      <c r="I6" s="10">
        <f t="shared" si="1"/>
        <v>46494000</v>
      </c>
      <c r="J6" s="10">
        <f t="shared" si="1"/>
        <v>53136000</v>
      </c>
      <c r="K6" s="10">
        <f t="shared" si="1"/>
        <v>59778000</v>
      </c>
      <c r="L6" s="10">
        <f>$B$6*L5</f>
        <v>66420000</v>
      </c>
      <c r="N6" s="3" t="str">
        <f t="shared" ref="N6:N15" si="2">A6</f>
        <v>Выручка</v>
      </c>
      <c r="O6" s="10">
        <f t="shared" si="0"/>
        <v>66420000</v>
      </c>
      <c r="P6" s="10">
        <f>$O$6*P5</f>
        <v>6642000</v>
      </c>
      <c r="Q6" s="10">
        <f t="shared" ref="Q6:Y6" si="3">$O$6*Q5</f>
        <v>13284000</v>
      </c>
      <c r="R6" s="10">
        <f t="shared" si="3"/>
        <v>19926000</v>
      </c>
      <c r="S6" s="10">
        <f t="shared" si="3"/>
        <v>26568000</v>
      </c>
      <c r="T6" s="10">
        <f t="shared" si="3"/>
        <v>33210000</v>
      </c>
      <c r="U6" s="10">
        <f t="shared" si="3"/>
        <v>39852000</v>
      </c>
      <c r="V6" s="10">
        <f t="shared" si="3"/>
        <v>46494000</v>
      </c>
      <c r="W6" s="10">
        <f t="shared" si="3"/>
        <v>53136000</v>
      </c>
      <c r="X6" s="10">
        <f t="shared" si="3"/>
        <v>59778000</v>
      </c>
      <c r="Y6" s="10">
        <f t="shared" si="3"/>
        <v>66420000</v>
      </c>
    </row>
    <row r="7" spans="1:25" s="3" customFormat="1" ht="15" x14ac:dyDescent="0.25">
      <c r="A7" s="3" t="s">
        <v>43</v>
      </c>
      <c r="B7" s="13">
        <f>E33</f>
        <v>32539158</v>
      </c>
      <c r="C7" s="10">
        <f>$B$7*C5</f>
        <v>3253915.8000000003</v>
      </c>
      <c r="D7" s="10">
        <f t="shared" ref="D7:L7" si="4">$B$7*D5</f>
        <v>6507831.6000000006</v>
      </c>
      <c r="E7" s="10">
        <f t="shared" si="4"/>
        <v>9761747.4000000004</v>
      </c>
      <c r="F7" s="10">
        <f t="shared" si="4"/>
        <v>13015663.200000001</v>
      </c>
      <c r="G7" s="10">
        <f t="shared" si="4"/>
        <v>16269579</v>
      </c>
      <c r="H7" s="10">
        <f t="shared" si="4"/>
        <v>19523494.800000001</v>
      </c>
      <c r="I7" s="10">
        <f t="shared" si="4"/>
        <v>22777410.599999998</v>
      </c>
      <c r="J7" s="10">
        <f t="shared" si="4"/>
        <v>26031326.400000002</v>
      </c>
      <c r="K7" s="10">
        <f t="shared" si="4"/>
        <v>29285242.199999999</v>
      </c>
      <c r="L7" s="10">
        <f t="shared" si="4"/>
        <v>32539158</v>
      </c>
      <c r="N7" s="3" t="str">
        <f t="shared" si="2"/>
        <v>Переменные расходы</v>
      </c>
      <c r="O7" s="10">
        <f t="shared" si="0"/>
        <v>32539158</v>
      </c>
      <c r="P7" s="10">
        <f>$O$7*P5</f>
        <v>3253915.8000000003</v>
      </c>
      <c r="Q7" s="10">
        <f t="shared" ref="Q7:Y7" si="5">$O$7*Q5</f>
        <v>6507831.6000000006</v>
      </c>
      <c r="R7" s="10">
        <f t="shared" si="5"/>
        <v>9761747.4000000004</v>
      </c>
      <c r="S7" s="10">
        <f t="shared" si="5"/>
        <v>13015663.200000001</v>
      </c>
      <c r="T7" s="10">
        <f t="shared" si="5"/>
        <v>16269579</v>
      </c>
      <c r="U7" s="10">
        <f t="shared" si="5"/>
        <v>19523494.800000001</v>
      </c>
      <c r="V7" s="10">
        <f t="shared" si="5"/>
        <v>22777410.599999998</v>
      </c>
      <c r="W7" s="10">
        <f t="shared" si="5"/>
        <v>26031326.400000002</v>
      </c>
      <c r="X7" s="10">
        <f t="shared" si="5"/>
        <v>29285242.199999999</v>
      </c>
      <c r="Y7" s="10">
        <f t="shared" si="5"/>
        <v>32539158</v>
      </c>
    </row>
    <row r="8" spans="1:25" s="3" customFormat="1" ht="15" x14ac:dyDescent="0.25">
      <c r="A8" s="3" t="s">
        <v>65</v>
      </c>
      <c r="B8" s="13">
        <f>E47</f>
        <v>21003027.478649996</v>
      </c>
      <c r="C8" s="10">
        <f>B8</f>
        <v>21003027.478649996</v>
      </c>
      <c r="D8" s="10">
        <f t="shared" ref="D8:L8" si="6">C8</f>
        <v>21003027.478649996</v>
      </c>
      <c r="E8" s="10">
        <f t="shared" si="6"/>
        <v>21003027.478649996</v>
      </c>
      <c r="F8" s="10">
        <f t="shared" si="6"/>
        <v>21003027.478649996</v>
      </c>
      <c r="G8" s="10">
        <f t="shared" si="6"/>
        <v>21003027.478649996</v>
      </c>
      <c r="H8" s="10">
        <f t="shared" si="6"/>
        <v>21003027.478649996</v>
      </c>
      <c r="I8" s="10">
        <f t="shared" si="6"/>
        <v>21003027.478649996</v>
      </c>
      <c r="J8" s="10">
        <f t="shared" si="6"/>
        <v>21003027.478649996</v>
      </c>
      <c r="K8" s="10">
        <f t="shared" si="6"/>
        <v>21003027.478649996</v>
      </c>
      <c r="L8" s="10">
        <f t="shared" si="6"/>
        <v>21003027.478649996</v>
      </c>
      <c r="N8" s="3" t="str">
        <f t="shared" si="2"/>
        <v>Постоянные расходы</v>
      </c>
      <c r="O8" s="10">
        <f t="shared" si="0"/>
        <v>21003027.478649996</v>
      </c>
      <c r="P8" s="10">
        <f t="shared" si="0"/>
        <v>21003027.478649996</v>
      </c>
      <c r="Q8" s="10">
        <f t="shared" si="0"/>
        <v>21003027.478649996</v>
      </c>
      <c r="R8" s="10">
        <f t="shared" si="0"/>
        <v>21003027.478649996</v>
      </c>
      <c r="S8" s="10">
        <f t="shared" si="0"/>
        <v>21003027.478649996</v>
      </c>
      <c r="T8" s="10">
        <f t="shared" si="0"/>
        <v>21003027.478649996</v>
      </c>
      <c r="U8" s="10">
        <f t="shared" si="0"/>
        <v>21003027.478649996</v>
      </c>
      <c r="V8" s="10">
        <f t="shared" si="0"/>
        <v>21003027.478649996</v>
      </c>
      <c r="W8" s="10">
        <f t="shared" si="0"/>
        <v>21003027.478649996</v>
      </c>
      <c r="X8" s="10">
        <f t="shared" si="0"/>
        <v>21003027.478649996</v>
      </c>
      <c r="Y8" s="10">
        <f t="shared" si="0"/>
        <v>21003027.478649996</v>
      </c>
    </row>
    <row r="9" spans="1:25" s="3" customFormat="1" ht="15" x14ac:dyDescent="0.25">
      <c r="A9" s="3" t="s">
        <v>133</v>
      </c>
      <c r="B9" s="13">
        <f>SUM(B10:B13)</f>
        <v>4138657.624760001</v>
      </c>
      <c r="C9" s="10">
        <f t="shared" ref="C9:L9" si="7">SUM(C10:C13)</f>
        <v>430782.78607475013</v>
      </c>
      <c r="D9" s="10">
        <f t="shared" si="7"/>
        <v>842768.87926200032</v>
      </c>
      <c r="E9" s="10">
        <f t="shared" si="7"/>
        <v>1254754.9724492503</v>
      </c>
      <c r="F9" s="10">
        <f t="shared" si="7"/>
        <v>1666741.0656365007</v>
      </c>
      <c r="G9" s="10">
        <f t="shared" si="7"/>
        <v>2078727.1588237504</v>
      </c>
      <c r="H9" s="10">
        <f t="shared" si="7"/>
        <v>2490713.2520110002</v>
      </c>
      <c r="I9" s="10">
        <f t="shared" si="7"/>
        <v>2902699.3451982504</v>
      </c>
      <c r="J9" s="10">
        <f t="shared" si="7"/>
        <v>3314685.438385501</v>
      </c>
      <c r="K9" s="10">
        <f t="shared" si="7"/>
        <v>3726671.5315727508</v>
      </c>
      <c r="L9" s="10">
        <f t="shared" si="7"/>
        <v>4138657.624760001</v>
      </c>
      <c r="N9" s="3" t="str">
        <f t="shared" si="2"/>
        <v>Налоги</v>
      </c>
      <c r="O9" s="10">
        <f>SUM(O10:O13)</f>
        <v>4138657.624760001</v>
      </c>
      <c r="P9" s="10">
        <f t="shared" ref="P9:Y9" si="8">SUM(P10:P13)</f>
        <v>430782.78607475013</v>
      </c>
      <c r="Q9" s="10">
        <f t="shared" si="8"/>
        <v>842768.87926200032</v>
      </c>
      <c r="R9" s="10">
        <f t="shared" si="8"/>
        <v>1254754.9724492503</v>
      </c>
      <c r="S9" s="10">
        <f t="shared" si="8"/>
        <v>1666741.0656365007</v>
      </c>
      <c r="T9" s="10">
        <f t="shared" si="8"/>
        <v>2078727.1588237504</v>
      </c>
      <c r="U9" s="10">
        <f t="shared" si="8"/>
        <v>2490713.2520110002</v>
      </c>
      <c r="V9" s="10">
        <f t="shared" si="8"/>
        <v>2902699.3451982504</v>
      </c>
      <c r="W9" s="10">
        <f t="shared" si="8"/>
        <v>3314685.438385501</v>
      </c>
      <c r="X9" s="10">
        <f t="shared" si="8"/>
        <v>3726671.5315727508</v>
      </c>
      <c r="Y9" s="10">
        <f t="shared" si="8"/>
        <v>4138657.624760001</v>
      </c>
    </row>
    <row r="10" spans="1:25" s="3" customFormat="1" ht="15" x14ac:dyDescent="0.25">
      <c r="A10" s="3" t="str">
        <f>'Параметы Налоги'!A5</f>
        <v>Налог на прибыль</v>
      </c>
      <c r="B10" s="13">
        <f>'Параметы Налоги'!AC5/4</f>
        <v>1973558.511647501</v>
      </c>
      <c r="C10" s="10">
        <f>$B$10*C5</f>
        <v>197355.85116475011</v>
      </c>
      <c r="D10" s="10">
        <f t="shared" ref="D10:L10" si="9">$B$10*D5</f>
        <v>394711.70232950023</v>
      </c>
      <c r="E10" s="10">
        <f t="shared" si="9"/>
        <v>592067.55349425029</v>
      </c>
      <c r="F10" s="10">
        <f t="shared" si="9"/>
        <v>789423.40465900046</v>
      </c>
      <c r="G10" s="10">
        <f t="shared" si="9"/>
        <v>986779.25582375051</v>
      </c>
      <c r="H10" s="10">
        <f t="shared" si="9"/>
        <v>1184135.1069885006</v>
      </c>
      <c r="I10" s="10">
        <f t="shared" si="9"/>
        <v>1381490.9581532506</v>
      </c>
      <c r="J10" s="10">
        <f t="shared" si="9"/>
        <v>1578846.8093180009</v>
      </c>
      <c r="K10" s="10">
        <f t="shared" si="9"/>
        <v>1776202.660482751</v>
      </c>
      <c r="L10" s="10">
        <f t="shared" si="9"/>
        <v>1973558.511647501</v>
      </c>
      <c r="N10" s="3" t="str">
        <f t="shared" si="2"/>
        <v>Налог на прибыль</v>
      </c>
      <c r="O10" s="10">
        <f t="shared" si="0"/>
        <v>1973558.511647501</v>
      </c>
      <c r="P10" s="10">
        <f>$O$10*P5</f>
        <v>197355.85116475011</v>
      </c>
      <c r="Q10" s="10">
        <f t="shared" ref="Q10:Y10" si="10">$O$10*Q5</f>
        <v>394711.70232950023</v>
      </c>
      <c r="R10" s="10">
        <f t="shared" si="10"/>
        <v>592067.55349425029</v>
      </c>
      <c r="S10" s="10">
        <f t="shared" si="10"/>
        <v>789423.40465900046</v>
      </c>
      <c r="T10" s="10">
        <f t="shared" si="10"/>
        <v>986779.25582375051</v>
      </c>
      <c r="U10" s="10">
        <f t="shared" si="10"/>
        <v>1184135.1069885006</v>
      </c>
      <c r="V10" s="10">
        <f t="shared" si="10"/>
        <v>1381490.9581532506</v>
      </c>
      <c r="W10" s="10">
        <f t="shared" si="10"/>
        <v>1578846.8093180009</v>
      </c>
      <c r="X10" s="10">
        <f t="shared" si="10"/>
        <v>1776202.660482751</v>
      </c>
      <c r="Y10" s="10">
        <f t="shared" si="10"/>
        <v>1973558.511647501</v>
      </c>
    </row>
    <row r="11" spans="1:25" s="3" customFormat="1" ht="15" x14ac:dyDescent="0.25">
      <c r="A11" s="3" t="str">
        <f>'Параметы Налоги'!A6</f>
        <v>Налог на имущество</v>
      </c>
      <c r="B11" s="13">
        <f>'Параметы Налоги'!AC6/4</f>
        <v>18796.692887500001</v>
      </c>
      <c r="C11" s="10">
        <f>B11</f>
        <v>18796.692887500001</v>
      </c>
      <c r="D11" s="10">
        <f t="shared" ref="D11:L11" si="11">C11</f>
        <v>18796.692887500001</v>
      </c>
      <c r="E11" s="10">
        <f t="shared" si="11"/>
        <v>18796.692887500001</v>
      </c>
      <c r="F11" s="10">
        <f t="shared" si="11"/>
        <v>18796.692887500001</v>
      </c>
      <c r="G11" s="10">
        <f t="shared" si="11"/>
        <v>18796.692887500001</v>
      </c>
      <c r="H11" s="10">
        <f t="shared" si="11"/>
        <v>18796.692887500001</v>
      </c>
      <c r="I11" s="10">
        <f t="shared" si="11"/>
        <v>18796.692887500001</v>
      </c>
      <c r="J11" s="10">
        <f t="shared" si="11"/>
        <v>18796.692887500001</v>
      </c>
      <c r="K11" s="10">
        <f t="shared" si="11"/>
        <v>18796.692887500001</v>
      </c>
      <c r="L11" s="10">
        <f t="shared" si="11"/>
        <v>18796.692887500001</v>
      </c>
      <c r="N11" s="3" t="str">
        <f t="shared" si="2"/>
        <v>Налог на имущество</v>
      </c>
      <c r="O11" s="10">
        <f t="shared" si="0"/>
        <v>18796.692887500001</v>
      </c>
      <c r="P11" s="10">
        <f t="shared" si="0"/>
        <v>18796.692887500001</v>
      </c>
      <c r="Q11" s="10">
        <f t="shared" si="0"/>
        <v>18796.692887500001</v>
      </c>
      <c r="R11" s="10">
        <f t="shared" si="0"/>
        <v>18796.692887500001</v>
      </c>
      <c r="S11" s="10">
        <f t="shared" si="0"/>
        <v>18796.692887500001</v>
      </c>
      <c r="T11" s="10">
        <f t="shared" si="0"/>
        <v>18796.692887500001</v>
      </c>
      <c r="U11" s="10">
        <f t="shared" si="0"/>
        <v>18796.692887500001</v>
      </c>
      <c r="V11" s="10">
        <f t="shared" si="0"/>
        <v>18796.692887500001</v>
      </c>
      <c r="W11" s="10">
        <f t="shared" si="0"/>
        <v>18796.692887500001</v>
      </c>
      <c r="X11" s="10">
        <f t="shared" si="0"/>
        <v>18796.692887500001</v>
      </c>
      <c r="Y11" s="10">
        <f t="shared" si="0"/>
        <v>18796.692887500001</v>
      </c>
    </row>
    <row r="12" spans="1:25" s="3" customFormat="1" ht="15" x14ac:dyDescent="0.25">
      <c r="A12" s="3" t="str">
        <f>'Параметы Налоги'!A7</f>
        <v>НДС</v>
      </c>
      <c r="B12" s="13">
        <f>'Параметы Налоги'!AC7/4</f>
        <v>2146302.420225</v>
      </c>
      <c r="C12" s="10">
        <f>$B$12*C5</f>
        <v>214630.24202250002</v>
      </c>
      <c r="D12" s="10">
        <f t="shared" ref="D12:L12" si="12">$B$12*D5</f>
        <v>429260.48404500005</v>
      </c>
      <c r="E12" s="10">
        <f t="shared" si="12"/>
        <v>643890.72606749996</v>
      </c>
      <c r="F12" s="10">
        <f t="shared" si="12"/>
        <v>858520.9680900001</v>
      </c>
      <c r="G12" s="10">
        <f t="shared" si="12"/>
        <v>1073151.2101125</v>
      </c>
      <c r="H12" s="10">
        <f t="shared" si="12"/>
        <v>1287781.4521349999</v>
      </c>
      <c r="I12" s="10">
        <f t="shared" si="12"/>
        <v>1502411.6941574998</v>
      </c>
      <c r="J12" s="10">
        <f t="shared" si="12"/>
        <v>1717041.9361800002</v>
      </c>
      <c r="K12" s="10">
        <f t="shared" si="12"/>
        <v>1931672.1782025001</v>
      </c>
      <c r="L12" s="10">
        <f t="shared" si="12"/>
        <v>2146302.420225</v>
      </c>
      <c r="N12" s="3" t="str">
        <f t="shared" si="2"/>
        <v>НДС</v>
      </c>
      <c r="O12" s="10">
        <f t="shared" si="0"/>
        <v>2146302.420225</v>
      </c>
      <c r="P12" s="10">
        <f t="shared" si="0"/>
        <v>214630.24202250002</v>
      </c>
      <c r="Q12" s="10">
        <f t="shared" si="0"/>
        <v>429260.48404500005</v>
      </c>
      <c r="R12" s="10">
        <f t="shared" si="0"/>
        <v>643890.72606749996</v>
      </c>
      <c r="S12" s="10">
        <f t="shared" si="0"/>
        <v>858520.9680900001</v>
      </c>
      <c r="T12" s="10">
        <f t="shared" si="0"/>
        <v>1073151.2101125</v>
      </c>
      <c r="U12" s="10">
        <f t="shared" si="0"/>
        <v>1287781.4521349999</v>
      </c>
      <c r="V12" s="10">
        <f t="shared" si="0"/>
        <v>1502411.6941574998</v>
      </c>
      <c r="W12" s="10">
        <f t="shared" si="0"/>
        <v>1717041.9361800002</v>
      </c>
      <c r="X12" s="10">
        <f t="shared" si="0"/>
        <v>1931672.1782025001</v>
      </c>
      <c r="Y12" s="10">
        <f t="shared" si="0"/>
        <v>2146302.420225</v>
      </c>
    </row>
    <row r="13" spans="1:25" s="3" customFormat="1" ht="15" x14ac:dyDescent="0.25">
      <c r="A13" s="3" t="str">
        <f>'Параметы Налоги'!A8</f>
        <v>Налог на землю</v>
      </c>
      <c r="B13" s="13">
        <f>'Параметы Налоги'!AC8/4</f>
        <v>0</v>
      </c>
      <c r="C13" s="10">
        <f>B13</f>
        <v>0</v>
      </c>
      <c r="D13" s="10">
        <f t="shared" ref="D13:L13" si="13">C13</f>
        <v>0</v>
      </c>
      <c r="E13" s="10">
        <f t="shared" si="13"/>
        <v>0</v>
      </c>
      <c r="F13" s="10">
        <f t="shared" si="13"/>
        <v>0</v>
      </c>
      <c r="G13" s="10">
        <f t="shared" si="13"/>
        <v>0</v>
      </c>
      <c r="H13" s="10">
        <f t="shared" si="13"/>
        <v>0</v>
      </c>
      <c r="I13" s="10">
        <f t="shared" si="13"/>
        <v>0</v>
      </c>
      <c r="J13" s="10">
        <f t="shared" si="13"/>
        <v>0</v>
      </c>
      <c r="K13" s="10">
        <f t="shared" si="13"/>
        <v>0</v>
      </c>
      <c r="L13" s="10">
        <f t="shared" si="13"/>
        <v>0</v>
      </c>
      <c r="N13" s="3" t="str">
        <f t="shared" si="2"/>
        <v>Налог на землю</v>
      </c>
      <c r="O13" s="10">
        <f t="shared" si="0"/>
        <v>0</v>
      </c>
      <c r="P13" s="10">
        <f t="shared" si="0"/>
        <v>0</v>
      </c>
      <c r="Q13" s="10">
        <f t="shared" si="0"/>
        <v>0</v>
      </c>
      <c r="R13" s="10">
        <f t="shared" si="0"/>
        <v>0</v>
      </c>
      <c r="S13" s="10">
        <f t="shared" si="0"/>
        <v>0</v>
      </c>
      <c r="T13" s="10">
        <f t="shared" si="0"/>
        <v>0</v>
      </c>
      <c r="U13" s="10">
        <f t="shared" si="0"/>
        <v>0</v>
      </c>
      <c r="V13" s="10">
        <f t="shared" si="0"/>
        <v>0</v>
      </c>
      <c r="W13" s="10">
        <f t="shared" si="0"/>
        <v>0</v>
      </c>
      <c r="X13" s="10">
        <f t="shared" si="0"/>
        <v>0</v>
      </c>
      <c r="Y13" s="10">
        <f t="shared" si="0"/>
        <v>0</v>
      </c>
    </row>
    <row r="14" spans="1:25" s="3" customFormat="1" ht="15" x14ac:dyDescent="0.25">
      <c r="B14" s="13"/>
      <c r="C14" s="10"/>
      <c r="D14" s="10"/>
      <c r="E14" s="10"/>
      <c r="F14" s="10"/>
      <c r="G14" s="10"/>
      <c r="H14" s="10"/>
      <c r="I14" s="10"/>
      <c r="J14" s="10"/>
      <c r="K14" s="10"/>
      <c r="L14" s="10"/>
      <c r="N14" s="3" t="str">
        <f>A51</f>
        <v>Максимальная кредитная нагрузка</v>
      </c>
      <c r="O14" s="10">
        <f>E51</f>
        <v>0</v>
      </c>
      <c r="P14" s="10">
        <f>O14</f>
        <v>0</v>
      </c>
      <c r="Q14" s="10">
        <f t="shared" ref="Q14:Y14" si="14">P14</f>
        <v>0</v>
      </c>
      <c r="R14" s="10">
        <f t="shared" si="14"/>
        <v>0</v>
      </c>
      <c r="S14" s="10">
        <f t="shared" si="14"/>
        <v>0</v>
      </c>
      <c r="T14" s="10">
        <f t="shared" si="14"/>
        <v>0</v>
      </c>
      <c r="U14" s="10">
        <f t="shared" si="14"/>
        <v>0</v>
      </c>
      <c r="V14" s="10">
        <f t="shared" si="14"/>
        <v>0</v>
      </c>
      <c r="W14" s="10">
        <f t="shared" si="14"/>
        <v>0</v>
      </c>
      <c r="X14" s="10">
        <f t="shared" si="14"/>
        <v>0</v>
      </c>
      <c r="Y14" s="10">
        <f t="shared" si="14"/>
        <v>0</v>
      </c>
    </row>
    <row r="15" spans="1:25" s="3" customFormat="1" ht="15" x14ac:dyDescent="0.25">
      <c r="A15" s="9" t="s">
        <v>175</v>
      </c>
      <c r="B15" s="13">
        <f>B6-B7-B8-B9</f>
        <v>8739156.8965900019</v>
      </c>
      <c r="C15" s="13">
        <f>C6-C7-C8-C9</f>
        <v>-18045726.064724747</v>
      </c>
      <c r="D15" s="13">
        <f t="shared" ref="D15:L15" si="15">D6-D7-D8-D9</f>
        <v>-15069627.957911998</v>
      </c>
      <c r="E15" s="13">
        <f>E6-E7-E8-E9</f>
        <v>-12093529.851099247</v>
      </c>
      <c r="F15" s="13">
        <f t="shared" si="15"/>
        <v>-9117431.7442864981</v>
      </c>
      <c r="G15" s="13">
        <f t="shared" si="15"/>
        <v>-6141333.6374737471</v>
      </c>
      <c r="H15" s="13">
        <f t="shared" si="15"/>
        <v>-3165235.5306609971</v>
      </c>
      <c r="I15" s="13">
        <f t="shared" si="15"/>
        <v>-189137.42384824436</v>
      </c>
      <c r="J15" s="13">
        <f t="shared" si="15"/>
        <v>2786960.6829645005</v>
      </c>
      <c r="K15" s="13">
        <f t="shared" si="15"/>
        <v>5763058.7897772538</v>
      </c>
      <c r="L15" s="13">
        <f t="shared" si="15"/>
        <v>8739156.8965900019</v>
      </c>
      <c r="N15" s="3" t="str">
        <f t="shared" si="2"/>
        <v>Прибыль</v>
      </c>
      <c r="O15" s="10">
        <f>O6-O7-O8-O9-O14</f>
        <v>8739156.8965900019</v>
      </c>
      <c r="P15" s="10">
        <f t="shared" ref="P15:Y15" si="16">P6-P7-P8-P9-P14</f>
        <v>-18045726.064724747</v>
      </c>
      <c r="Q15" s="10">
        <f t="shared" si="16"/>
        <v>-15069627.957911998</v>
      </c>
      <c r="R15" s="10">
        <f t="shared" si="16"/>
        <v>-12093529.851099247</v>
      </c>
      <c r="S15" s="10">
        <f t="shared" si="16"/>
        <v>-9117431.7442864981</v>
      </c>
      <c r="T15" s="10">
        <f t="shared" si="16"/>
        <v>-6141333.6374737471</v>
      </c>
      <c r="U15" s="10">
        <f>U6-U7-U8-U9-U14</f>
        <v>-3165235.5306609971</v>
      </c>
      <c r="V15" s="10">
        <f t="shared" si="16"/>
        <v>-189137.42384824436</v>
      </c>
      <c r="W15" s="10">
        <f t="shared" si="16"/>
        <v>2786960.6829645005</v>
      </c>
      <c r="X15" s="10">
        <f t="shared" si="16"/>
        <v>5763058.7897772538</v>
      </c>
      <c r="Y15" s="10">
        <f t="shared" si="16"/>
        <v>8739156.8965900019</v>
      </c>
    </row>
    <row r="16" spans="1:25" s="3" customFormat="1" x14ac:dyDescent="0.2"/>
    <row r="17" spans="1:15" s="3" customFormat="1" ht="15" x14ac:dyDescent="0.25">
      <c r="A17" s="9" t="s">
        <v>257</v>
      </c>
      <c r="B17" s="118">
        <f>(B13+B11+B8)/(B6-B7-B10-B12)</f>
        <v>0.70635521468244888</v>
      </c>
      <c r="N17" s="9" t="s">
        <v>315</v>
      </c>
      <c r="O17" s="118">
        <f>(O8+O11+O13+O14)/(O6-O7-O10-O12)</f>
        <v>0.70635521468244888</v>
      </c>
    </row>
    <row r="18" spans="1:15" s="3" customFormat="1" x14ac:dyDescent="0.2">
      <c r="A18" s="3" t="s">
        <v>311</v>
      </c>
      <c r="B18" s="10">
        <f>B6*B17</f>
        <v>46916113.359208256</v>
      </c>
      <c r="N18" s="3" t="s">
        <v>310</v>
      </c>
      <c r="O18" s="10">
        <f>O17*O6</f>
        <v>46916113.359208256</v>
      </c>
    </row>
    <row r="19" spans="1:15" s="3" customFormat="1" x14ac:dyDescent="0.2"/>
    <row r="20" spans="1:15" s="3" customFormat="1" x14ac:dyDescent="0.2">
      <c r="A20" s="19" t="s">
        <v>252</v>
      </c>
    </row>
    <row r="21" spans="1:15" s="3" customFormat="1" ht="56.25" x14ac:dyDescent="0.2">
      <c r="A21" s="119" t="str">
        <f>'Параметры Доходы'!A14</f>
        <v>Бизнес направления</v>
      </c>
      <c r="B21" s="119" t="str">
        <f>'Параметры Доходы'!B14</f>
        <v>Единицы измерения</v>
      </c>
      <c r="C21" s="119" t="str">
        <f>'Параметры Доходы'!C14</f>
        <v>Цены, руб.</v>
      </c>
      <c r="D21" s="119" t="str">
        <f>'Параметры Доходы'!C20</f>
        <v>Объем продаж в натуральном выражении в месяц</v>
      </c>
      <c r="E21" s="119" t="str">
        <f>'Параметры Доходы'!E4</f>
        <v>Объем продаж в квартал в денежном выражении при 100% загрузке</v>
      </c>
      <c r="F21" s="3" t="s">
        <v>253</v>
      </c>
    </row>
    <row r="22" spans="1:15" s="3" customFormat="1" x14ac:dyDescent="0.2">
      <c r="A22" s="3" t="str">
        <f>'Параметры Доходы'!A15</f>
        <v>Печь "ХЛЕБОПЕЧКА"</v>
      </c>
      <c r="B22" s="3" t="str">
        <f>'Параметры Доходы'!B15</f>
        <v>руб./шт.</v>
      </c>
      <c r="C22" s="10">
        <f>'Параметры Доходы'!C15</f>
        <v>3690000</v>
      </c>
      <c r="D22" s="10">
        <f>'Параметры Доходы'!C21</f>
        <v>6</v>
      </c>
      <c r="E22" s="10">
        <f>'Параметры Доходы'!E5</f>
        <v>66420000</v>
      </c>
      <c r="F22" s="120">
        <f>E22/$E$25</f>
        <v>1</v>
      </c>
    </row>
    <row r="23" spans="1:15" s="3" customFormat="1" hidden="1" x14ac:dyDescent="0.2">
      <c r="A23" s="3">
        <f>'Параметры Доходы'!A16</f>
        <v>0</v>
      </c>
      <c r="B23" s="3">
        <f>'Параметры Доходы'!B16</f>
        <v>0</v>
      </c>
      <c r="C23" s="10">
        <f>'Параметры Доходы'!C16</f>
        <v>0</v>
      </c>
      <c r="D23" s="10">
        <f>'Параметры Доходы'!C22</f>
        <v>0</v>
      </c>
      <c r="E23" s="10">
        <f>'Параметры Доходы'!E6</f>
        <v>0</v>
      </c>
      <c r="F23" s="120">
        <f t="shared" ref="F23:F24" si="17">E23/$E$25</f>
        <v>0</v>
      </c>
    </row>
    <row r="24" spans="1:15" s="3" customFormat="1" hidden="1" x14ac:dyDescent="0.2">
      <c r="A24" s="3">
        <f>'Параметры Доходы'!A17</f>
        <v>0</v>
      </c>
      <c r="B24" s="3">
        <f>'Параметры Доходы'!B17</f>
        <v>0</v>
      </c>
      <c r="C24" s="10">
        <f>'Параметры Доходы'!C17</f>
        <v>0</v>
      </c>
      <c r="D24" s="10">
        <f>'Параметры Доходы'!C23</f>
        <v>0</v>
      </c>
      <c r="E24" s="10">
        <f>'Параметры Доходы'!E7</f>
        <v>0</v>
      </c>
      <c r="F24" s="120">
        <f t="shared" si="17"/>
        <v>0</v>
      </c>
    </row>
    <row r="25" spans="1:15" s="3" customFormat="1" ht="15" x14ac:dyDescent="0.25">
      <c r="E25" s="13">
        <f>SUM(E22:E24)</f>
        <v>66420000</v>
      </c>
    </row>
    <row r="26" spans="1:15" s="3" customFormat="1" x14ac:dyDescent="0.2"/>
    <row r="27" spans="1:15" s="3" customFormat="1" x14ac:dyDescent="0.2">
      <c r="A27" s="19" t="s">
        <v>132</v>
      </c>
    </row>
    <row r="28" spans="1:15" s="3" customFormat="1" x14ac:dyDescent="0.2">
      <c r="A28" s="3" t="s">
        <v>43</v>
      </c>
    </row>
    <row r="29" spans="1:15" s="3" customFormat="1" ht="56.25" x14ac:dyDescent="0.2">
      <c r="A29" s="119" t="str">
        <f>'Параметры Расходы'!A37</f>
        <v>Бизнес направления</v>
      </c>
      <c r="B29" s="119" t="str">
        <f>'Параметры Расходы'!B37</f>
        <v>Единицы измерения</v>
      </c>
      <c r="C29" s="119" t="str">
        <f>'Параметры Расходы'!C37</f>
        <v>Доля переменных расходов в цене продажи, %</v>
      </c>
      <c r="D29" s="119" t="str">
        <f>'Параметры Расходы'!D37</f>
        <v>Переменные расходы</v>
      </c>
      <c r="E29" s="119" t="str">
        <f>'Параметры Расходы'!B4</f>
        <v>Объем расходов при 100% загрузке в квартал</v>
      </c>
    </row>
    <row r="30" spans="1:15" s="3" customFormat="1" x14ac:dyDescent="0.2">
      <c r="A30" s="121" t="str">
        <f>'Параметры Расходы'!A38</f>
        <v>Печь "ХЛЕБОПЕЧКА"</v>
      </c>
      <c r="B30" s="3" t="str">
        <f>'Параметры Расходы'!B38</f>
        <v>руб./шт.</v>
      </c>
      <c r="C30" s="120">
        <f>'Параметры Расходы'!C38</f>
        <v>0.4899</v>
      </c>
      <c r="D30" s="3">
        <f>'Параметры Расходы'!D38</f>
        <v>1807731</v>
      </c>
      <c r="E30" s="10">
        <f>'Параметры Расходы'!B6</f>
        <v>32539158</v>
      </c>
    </row>
    <row r="31" spans="1:15" s="3" customFormat="1" hidden="1" x14ac:dyDescent="0.2">
      <c r="A31" s="121">
        <f>'Параметры Расходы'!A39</f>
        <v>0</v>
      </c>
      <c r="B31" s="3">
        <f>'Параметры Расходы'!B39</f>
        <v>0</v>
      </c>
      <c r="C31" s="120">
        <f>'Параметры Расходы'!C39</f>
        <v>0</v>
      </c>
      <c r="D31" s="3">
        <f>'Параметры Расходы'!D39</f>
        <v>0</v>
      </c>
      <c r="E31" s="10">
        <f>'Параметры Расходы'!B7</f>
        <v>0</v>
      </c>
    </row>
    <row r="32" spans="1:15" s="3" customFormat="1" hidden="1" x14ac:dyDescent="0.2">
      <c r="A32" s="121">
        <f>'Параметры Расходы'!A40</f>
        <v>0</v>
      </c>
      <c r="B32" s="3">
        <f>'Параметры Расходы'!B40</f>
        <v>0</v>
      </c>
      <c r="C32" s="120">
        <f>'Параметры Расходы'!C40</f>
        <v>0</v>
      </c>
      <c r="D32" s="3">
        <f>'Параметры Расходы'!D40</f>
        <v>0</v>
      </c>
      <c r="E32" s="10">
        <f>'Параметры Расходы'!B8</f>
        <v>0</v>
      </c>
    </row>
    <row r="33" spans="1:5" s="3" customFormat="1" ht="15" x14ac:dyDescent="0.25">
      <c r="E33" s="13">
        <f>SUM(E30:E32)</f>
        <v>32539158</v>
      </c>
    </row>
    <row r="34" spans="1:5" s="3" customFormat="1" x14ac:dyDescent="0.2">
      <c r="A34" s="3" t="s">
        <v>65</v>
      </c>
    </row>
    <row r="35" spans="1:5" s="3" customFormat="1" x14ac:dyDescent="0.2">
      <c r="A35" s="121" t="str">
        <f>'Параметры Расходы'!A14</f>
        <v>Заработная плата</v>
      </c>
      <c r="E35" s="10">
        <f>'Параметры Расходы'!B14</f>
        <v>18620072.759999998</v>
      </c>
    </row>
    <row r="36" spans="1:5" s="3" customFormat="1" x14ac:dyDescent="0.2">
      <c r="A36" s="121" t="str">
        <f>'Параметры Расходы'!A15</f>
        <v>Аренда</v>
      </c>
      <c r="E36" s="10">
        <f>'Параметры Расходы'!B15</f>
        <v>1820157</v>
      </c>
    </row>
    <row r="37" spans="1:5" s="3" customFormat="1" x14ac:dyDescent="0.2">
      <c r="A37" s="121" t="str">
        <f>'Параметры Расходы'!A16</f>
        <v>Энергия</v>
      </c>
      <c r="E37" s="10">
        <f>'Параметры Расходы'!B16</f>
        <v>112582.38</v>
      </c>
    </row>
    <row r="38" spans="1:5" s="3" customFormat="1" x14ac:dyDescent="0.2">
      <c r="A38" s="121" t="str">
        <f>'Параметры Расходы'!A17</f>
        <v>Вода</v>
      </c>
      <c r="E38" s="10">
        <f>'Параметры Расходы'!B17</f>
        <v>1356.03</v>
      </c>
    </row>
    <row r="39" spans="1:5" s="3" customFormat="1" x14ac:dyDescent="0.2">
      <c r="A39" s="121" t="str">
        <f>'Параметры Расходы'!A18</f>
        <v>Вывоз ТБО</v>
      </c>
      <c r="E39" s="10">
        <f>'Параметры Расходы'!B18</f>
        <v>3469.74</v>
      </c>
    </row>
    <row r="40" spans="1:5" s="3" customFormat="1" x14ac:dyDescent="0.2">
      <c r="A40" s="121" t="str">
        <f>'Параметры Расходы'!A19</f>
        <v>Хозяйственные расходы</v>
      </c>
      <c r="E40" s="10">
        <f>'Параметры Расходы'!B19</f>
        <v>27000</v>
      </c>
    </row>
    <row r="41" spans="1:5" s="3" customFormat="1" x14ac:dyDescent="0.2">
      <c r="A41" s="121" t="str">
        <f>'Параметры Расходы'!A20</f>
        <v>Канцелярские расходы</v>
      </c>
      <c r="E41" s="10">
        <f>'Параметры Расходы'!B20</f>
        <v>27000</v>
      </c>
    </row>
    <row r="42" spans="1:5" s="3" customFormat="1" x14ac:dyDescent="0.2">
      <c r="A42" s="121" t="str">
        <f>'Параметры Расходы'!A21</f>
        <v>Интернет</v>
      </c>
      <c r="E42" s="10">
        <f>'Параметры Расходы'!B21</f>
        <v>27000</v>
      </c>
    </row>
    <row r="43" spans="1:5" s="3" customFormat="1" x14ac:dyDescent="0.2">
      <c r="A43" s="121" t="str">
        <f>'Параметры Расходы'!A22</f>
        <v>Телефон</v>
      </c>
      <c r="E43" s="10">
        <f>'Параметры Расходы'!B22</f>
        <v>27000</v>
      </c>
    </row>
    <row r="44" spans="1:5" s="3" customFormat="1" x14ac:dyDescent="0.2">
      <c r="A44" s="121" t="str">
        <f>'Параметры Расходы'!A23</f>
        <v>Программное обеспечение</v>
      </c>
      <c r="E44" s="10">
        <f>'Параметры Расходы'!B23</f>
        <v>27000</v>
      </c>
    </row>
    <row r="45" spans="1:5" s="3" customFormat="1" x14ac:dyDescent="0.2">
      <c r="A45" s="121" t="str">
        <f>'Параметры Расходы'!A24</f>
        <v>Маркетинг и реклама</v>
      </c>
      <c r="E45" s="10">
        <f>'Параметры Расходы'!B24</f>
        <v>206926.37909999996</v>
      </c>
    </row>
    <row r="46" spans="1:5" s="3" customFormat="1" x14ac:dyDescent="0.2">
      <c r="A46" s="121" t="str">
        <f>'Параметры Расходы'!A25</f>
        <v>Прочие расходы</v>
      </c>
      <c r="E46" s="10">
        <f>'Параметры Расходы'!B25</f>
        <v>103463.18954999998</v>
      </c>
    </row>
    <row r="47" spans="1:5" s="3" customFormat="1" ht="15" x14ac:dyDescent="0.25">
      <c r="E47" s="13">
        <f>SUM(E35:E46)</f>
        <v>21003027.478649996</v>
      </c>
    </row>
    <row r="48" spans="1:5" s="3" customFormat="1" x14ac:dyDescent="0.2"/>
    <row r="49" spans="1:6" s="3" customFormat="1" ht="15" x14ac:dyDescent="0.25">
      <c r="A49" s="3" t="s">
        <v>133</v>
      </c>
      <c r="E49" s="13">
        <f>'Параметы Налоги'!AC9/4</f>
        <v>4138657.624760001</v>
      </c>
    </row>
    <row r="50" spans="1:6" s="3" customFormat="1" x14ac:dyDescent="0.2"/>
    <row r="51" spans="1:6" s="3" customFormat="1" ht="15" x14ac:dyDescent="0.25">
      <c r="A51" s="3" t="s">
        <v>314</v>
      </c>
      <c r="E51" s="13">
        <f>MAX('Параметры финансирование'!F29:Y29)</f>
        <v>0</v>
      </c>
    </row>
    <row r="52" spans="1:6" s="3" customFormat="1" x14ac:dyDescent="0.2"/>
    <row r="53" spans="1:6" s="3" customFormat="1" x14ac:dyDescent="0.2"/>
    <row r="54" spans="1:6" s="3" customFormat="1" x14ac:dyDescent="0.2"/>
    <row r="55" spans="1:6" s="3" customFormat="1" x14ac:dyDescent="0.2">
      <c r="A55" s="364" t="s">
        <v>254</v>
      </c>
      <c r="B55" s="364"/>
      <c r="C55" s="364"/>
      <c r="D55" s="364"/>
      <c r="E55" s="364"/>
    </row>
    <row r="56" spans="1:6" s="3" customFormat="1" hidden="1" x14ac:dyDescent="0.2">
      <c r="C56" s="10">
        <f>E47+E49</f>
        <v>25141685.103409998</v>
      </c>
    </row>
    <row r="57" spans="1:6" s="3" customFormat="1" x14ac:dyDescent="0.2">
      <c r="A57" s="3" t="str">
        <f>A22</f>
        <v>Печь "ХЛЕБОПЕЧКА"</v>
      </c>
      <c r="B57" s="83">
        <f>F22</f>
        <v>1</v>
      </c>
      <c r="C57" s="10">
        <f>B57*$C$56</f>
        <v>25141685.103409998</v>
      </c>
    </row>
    <row r="58" spans="1:6" s="3" customFormat="1" hidden="1" x14ac:dyDescent="0.2">
      <c r="A58" s="3">
        <f t="shared" ref="A58:A59" si="18">A23</f>
        <v>0</v>
      </c>
      <c r="B58" s="83">
        <f t="shared" ref="B58:B59" si="19">F23</f>
        <v>0</v>
      </c>
      <c r="C58" s="10">
        <f t="shared" ref="C58:C59" si="20">B58*$C$56</f>
        <v>0</v>
      </c>
    </row>
    <row r="59" spans="1:6" s="3" customFormat="1" hidden="1" x14ac:dyDescent="0.2">
      <c r="A59" s="3">
        <f t="shared" si="18"/>
        <v>0</v>
      </c>
      <c r="B59" s="83">
        <f t="shared" si="19"/>
        <v>0</v>
      </c>
      <c r="C59" s="10">
        <f t="shared" si="20"/>
        <v>0</v>
      </c>
    </row>
    <row r="60" spans="1:6" s="3" customFormat="1" hidden="1" x14ac:dyDescent="0.2">
      <c r="C60" s="10">
        <f>SUM(C57:C59)</f>
        <v>25141685.103409998</v>
      </c>
    </row>
    <row r="61" spans="1:6" s="3" customFormat="1" x14ac:dyDescent="0.2"/>
    <row r="62" spans="1:6" s="3" customFormat="1" x14ac:dyDescent="0.2"/>
    <row r="63" spans="1:6" s="3" customFormat="1" x14ac:dyDescent="0.2">
      <c r="A63" s="364" t="s">
        <v>255</v>
      </c>
      <c r="B63" s="364"/>
      <c r="C63" s="364"/>
      <c r="D63" s="364"/>
      <c r="E63" s="364"/>
    </row>
    <row r="64" spans="1:6" s="3" customFormat="1" ht="22.5" x14ac:dyDescent="0.2">
      <c r="B64" s="119" t="s">
        <v>163</v>
      </c>
      <c r="C64" s="119" t="s">
        <v>43</v>
      </c>
      <c r="D64" s="119" t="s">
        <v>256</v>
      </c>
      <c r="E64" s="119" t="s">
        <v>175</v>
      </c>
      <c r="F64" s="119"/>
    </row>
    <row r="65" spans="1:8" s="3" customFormat="1" x14ac:dyDescent="0.2">
      <c r="A65" s="3" t="str">
        <f>A57</f>
        <v>Печь "ХЛЕБОПЕЧКА"</v>
      </c>
      <c r="B65" s="10">
        <f>E22</f>
        <v>66420000</v>
      </c>
      <c r="C65" s="10">
        <f>E30</f>
        <v>32539158</v>
      </c>
      <c r="D65" s="10">
        <f>C57</f>
        <v>25141685.103409998</v>
      </c>
      <c r="E65" s="10">
        <f>B65-C65-D65</f>
        <v>8739156.8965900019</v>
      </c>
      <c r="F65" s="120"/>
    </row>
    <row r="66" spans="1:8" s="3" customFormat="1" hidden="1" x14ac:dyDescent="0.2">
      <c r="A66" s="3">
        <f t="shared" ref="A66:A67" si="21">A58</f>
        <v>0</v>
      </c>
      <c r="B66" s="10">
        <f t="shared" ref="B66:B67" si="22">E23</f>
        <v>0</v>
      </c>
      <c r="C66" s="10">
        <f t="shared" ref="C66:C67" si="23">E31</f>
        <v>0</v>
      </c>
      <c r="D66" s="10">
        <f t="shared" ref="D66:D67" si="24">C58</f>
        <v>0</v>
      </c>
      <c r="E66" s="10">
        <f t="shared" ref="E66:E67" si="25">B66-C66-D66</f>
        <v>0</v>
      </c>
      <c r="F66" s="120"/>
    </row>
    <row r="67" spans="1:8" s="3" customFormat="1" hidden="1" x14ac:dyDescent="0.2">
      <c r="A67" s="3">
        <f t="shared" si="21"/>
        <v>0</v>
      </c>
      <c r="B67" s="10">
        <f t="shared" si="22"/>
        <v>0</v>
      </c>
      <c r="C67" s="10">
        <f t="shared" si="23"/>
        <v>0</v>
      </c>
      <c r="D67" s="10">
        <f t="shared" si="24"/>
        <v>0</v>
      </c>
      <c r="E67" s="10">
        <f t="shared" si="25"/>
        <v>0</v>
      </c>
      <c r="F67" s="120"/>
    </row>
    <row r="68" spans="1:8" s="41" customFormat="1" ht="15" thickBot="1" x14ac:dyDescent="0.25"/>
    <row r="69" spans="1:8" ht="15" thickTop="1" x14ac:dyDescent="0.2"/>
    <row r="70" spans="1:8" ht="15" thickBot="1" x14ac:dyDescent="0.25"/>
    <row r="71" spans="1:8" s="36" customFormat="1" ht="27" thickTop="1" x14ac:dyDescent="0.4">
      <c r="A71" s="385" t="s">
        <v>177</v>
      </c>
      <c r="B71" s="385"/>
      <c r="C71" s="385"/>
      <c r="D71" s="385"/>
      <c r="E71" s="385"/>
      <c r="F71" s="385"/>
      <c r="G71" s="385"/>
      <c r="H71" s="385"/>
    </row>
    <row r="72" spans="1:8" s="37" customFormat="1" x14ac:dyDescent="0.2"/>
    <row r="73" spans="1:8" s="37" customFormat="1" x14ac:dyDescent="0.2"/>
    <row r="74" spans="1:8" s="37" customFormat="1" x14ac:dyDescent="0.2"/>
    <row r="75" spans="1:8" s="37" customFormat="1" x14ac:dyDescent="0.2"/>
    <row r="76" spans="1:8" s="37" customFormat="1" x14ac:dyDescent="0.2"/>
    <row r="77" spans="1:8" s="37" customFormat="1" x14ac:dyDescent="0.2"/>
    <row r="78" spans="1:8" s="37" customFormat="1" x14ac:dyDescent="0.2"/>
    <row r="79" spans="1:8" s="37" customFormat="1" x14ac:dyDescent="0.2"/>
    <row r="80" spans="1:8" s="37" customFormat="1" x14ac:dyDescent="0.2"/>
    <row r="81" s="37" customFormat="1" x14ac:dyDescent="0.2"/>
    <row r="82" s="37" customFormat="1" x14ac:dyDescent="0.2"/>
    <row r="83" s="37" customFormat="1" x14ac:dyDescent="0.2"/>
    <row r="84" s="37" customFormat="1" x14ac:dyDescent="0.2"/>
    <row r="85" s="37" customFormat="1" x14ac:dyDescent="0.2"/>
    <row r="86" s="37" customFormat="1" x14ac:dyDescent="0.2"/>
    <row r="87" s="37" customFormat="1" x14ac:dyDescent="0.2"/>
    <row r="88" s="37" customFormat="1" x14ac:dyDescent="0.2"/>
    <row r="89" s="37" customFormat="1" x14ac:dyDescent="0.2"/>
    <row r="90" s="37" customFormat="1" x14ac:dyDescent="0.2"/>
    <row r="91" s="37" customFormat="1" x14ac:dyDescent="0.2"/>
    <row r="92" s="37" customFormat="1" x14ac:dyDescent="0.2"/>
    <row r="93" s="37" customFormat="1" x14ac:dyDescent="0.2"/>
    <row r="94" s="37" customFormat="1" x14ac:dyDescent="0.2"/>
    <row r="95" s="37" customFormat="1" x14ac:dyDescent="0.2"/>
    <row r="96" s="37" customFormat="1" x14ac:dyDescent="0.2"/>
    <row r="97" s="37" customFormat="1" x14ac:dyDescent="0.2"/>
    <row r="98" s="37" customFormat="1" x14ac:dyDescent="0.2"/>
    <row r="99" s="37" customFormat="1" x14ac:dyDescent="0.2"/>
    <row r="100" s="37" customFormat="1" x14ac:dyDescent="0.2"/>
    <row r="101" s="37" customFormat="1" x14ac:dyDescent="0.2"/>
    <row r="102" s="37" customFormat="1" x14ac:dyDescent="0.2"/>
    <row r="103" s="37" customFormat="1" x14ac:dyDescent="0.2"/>
    <row r="104" s="37" customFormat="1" x14ac:dyDescent="0.2"/>
    <row r="105" s="37" customFormat="1" x14ac:dyDescent="0.2"/>
    <row r="106" s="38" customFormat="1" ht="15" thickBot="1" x14ac:dyDescent="0.25"/>
    <row r="107" ht="15" thickTop="1" x14ac:dyDescent="0.2"/>
  </sheetData>
  <mergeCells count="5">
    <mergeCell ref="A2:H2"/>
    <mergeCell ref="A55:E55"/>
    <mergeCell ref="A63:E63"/>
    <mergeCell ref="A71:H71"/>
    <mergeCell ref="N4:Q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-0.249977111117893"/>
  </sheetPr>
  <dimension ref="A1:L110"/>
  <sheetViews>
    <sheetView workbookViewId="0">
      <selection activeCell="J32" sqref="J32"/>
    </sheetView>
  </sheetViews>
  <sheetFormatPr defaultRowHeight="14.25" x14ac:dyDescent="0.2"/>
  <cols>
    <col min="1" max="1" width="65.28515625" style="128" bestFit="1" customWidth="1"/>
    <col min="2" max="2" width="21.85546875" style="128" customWidth="1"/>
    <col min="3" max="3" width="24.5703125" style="128" bestFit="1" customWidth="1"/>
    <col min="4" max="4" width="26.42578125" style="128" bestFit="1" customWidth="1"/>
    <col min="5" max="5" width="16" style="128" bestFit="1" customWidth="1"/>
    <col min="6" max="6" width="14.85546875" style="128" bestFit="1" customWidth="1"/>
    <col min="7" max="7" width="13.28515625" style="127" bestFit="1" customWidth="1"/>
    <col min="8" max="8" width="13.28515625" style="128" customWidth="1"/>
    <col min="9" max="9" width="18.42578125" style="128" customWidth="1"/>
    <col min="10" max="10" width="9.140625" style="128"/>
    <col min="11" max="11" width="16" style="128" customWidth="1"/>
    <col min="12" max="16384" width="9.140625" style="128"/>
  </cols>
  <sheetData>
    <row r="1" spans="1:9" ht="15" thickBot="1" x14ac:dyDescent="0.25"/>
    <row r="2" spans="1:9" s="141" customFormat="1" ht="27.75" thickTop="1" thickBot="1" x14ac:dyDescent="0.45">
      <c r="A2" s="362" t="s">
        <v>281</v>
      </c>
      <c r="B2" s="362"/>
      <c r="C2" s="363"/>
      <c r="G2" s="142"/>
    </row>
    <row r="3" spans="1:9" s="143" customFormat="1" ht="15" thickTop="1" x14ac:dyDescent="0.2">
      <c r="G3" s="144"/>
    </row>
    <row r="4" spans="1:9" s="143" customFormat="1" x14ac:dyDescent="0.2">
      <c r="B4" s="143" t="s">
        <v>309</v>
      </c>
      <c r="C4" s="143" t="s">
        <v>310</v>
      </c>
      <c r="G4" s="144"/>
    </row>
    <row r="5" spans="1:9" s="143" customFormat="1" x14ac:dyDescent="0.2">
      <c r="A5" s="143" t="s">
        <v>305</v>
      </c>
      <c r="B5" s="144">
        <f>C71</f>
        <v>0.25793800805157097</v>
      </c>
      <c r="C5" s="143">
        <f>B5*E19</f>
        <v>17132242.494785342</v>
      </c>
      <c r="G5" s="144"/>
    </row>
    <row r="6" spans="1:9" s="143" customFormat="1" x14ac:dyDescent="0.2">
      <c r="A6" s="143" t="s">
        <v>302</v>
      </c>
      <c r="B6" s="144">
        <f>C77</f>
        <v>0.26857354134947187</v>
      </c>
      <c r="C6" s="143">
        <f>B6*E25</f>
        <v>8739156.8965899982</v>
      </c>
      <c r="G6" s="144"/>
    </row>
    <row r="7" spans="1:9" s="143" customFormat="1" x14ac:dyDescent="0.2">
      <c r="A7" s="143" t="s">
        <v>306</v>
      </c>
      <c r="B7" s="144">
        <f>C79</f>
        <v>0.41609034247436627</v>
      </c>
      <c r="C7" s="143">
        <f>B7*E40</f>
        <v>8739156.8965900019</v>
      </c>
      <c r="G7" s="144"/>
    </row>
    <row r="8" spans="1:9" s="143" customFormat="1" x14ac:dyDescent="0.2">
      <c r="A8" s="143" t="s">
        <v>307</v>
      </c>
      <c r="B8" s="144" t="e">
        <f>C81</f>
        <v>#DIV/0!</v>
      </c>
      <c r="C8" s="143" t="e">
        <f>B8*E46</f>
        <v>#DIV/0!</v>
      </c>
      <c r="G8" s="144"/>
    </row>
    <row r="9" spans="1:9" s="145" customFormat="1" ht="15" thickBot="1" x14ac:dyDescent="0.25">
      <c r="B9" s="146"/>
      <c r="G9" s="146"/>
    </row>
    <row r="10" spans="1:9" ht="15" thickTop="1" x14ac:dyDescent="0.2">
      <c r="B10" s="127"/>
    </row>
    <row r="11" spans="1:9" ht="15" thickBot="1" x14ac:dyDescent="0.25"/>
    <row r="12" spans="1:9" s="130" customFormat="1" ht="27.75" thickTop="1" thickBot="1" x14ac:dyDescent="0.45">
      <c r="A12" s="373" t="s">
        <v>282</v>
      </c>
      <c r="B12" s="373"/>
      <c r="C12" s="374"/>
      <c r="G12" s="131"/>
    </row>
    <row r="13" spans="1:9" s="132" customFormat="1" ht="15" thickTop="1" x14ac:dyDescent="0.2">
      <c r="G13" s="133"/>
    </row>
    <row r="14" spans="1:9" s="132" customFormat="1" x14ac:dyDescent="0.2">
      <c r="A14" s="132" t="s">
        <v>131</v>
      </c>
      <c r="G14" s="133"/>
    </row>
    <row r="15" spans="1:9" s="134" customFormat="1" ht="24" x14ac:dyDescent="0.2">
      <c r="A15" s="134" t="str">
        <f>'Параметры Доходы'!A14</f>
        <v>Бизнес направления</v>
      </c>
      <c r="B15" s="134" t="str">
        <f>'Параметры Доходы'!B14</f>
        <v>Единицы измерения</v>
      </c>
      <c r="C15" s="134" t="str">
        <f>'Параметры Доходы'!C14</f>
        <v>Цены, руб.</v>
      </c>
      <c r="D15" s="134" t="str">
        <f>'Параметры Доходы'!C20</f>
        <v>Объем продаж в натуральном выражении в месяц</v>
      </c>
      <c r="E15" s="134" t="s">
        <v>283</v>
      </c>
      <c r="F15" s="134" t="s">
        <v>284</v>
      </c>
      <c r="G15" s="135" t="s">
        <v>285</v>
      </c>
    </row>
    <row r="16" spans="1:9" s="132" customFormat="1" x14ac:dyDescent="0.2">
      <c r="A16" s="132" t="str">
        <f>'Параметры Доходы'!A15</f>
        <v>Печь "ХЛЕБОПЕЧКА"</v>
      </c>
      <c r="B16" s="132" t="str">
        <f>'Параметры Доходы'!B15</f>
        <v>руб./шт.</v>
      </c>
      <c r="C16" s="132">
        <f>'Параметры Доходы'!C15</f>
        <v>3690000</v>
      </c>
      <c r="D16" s="132">
        <f>'Параметры Доходы'!C21</f>
        <v>6</v>
      </c>
      <c r="E16" s="132">
        <f>F16/4</f>
        <v>66420000</v>
      </c>
      <c r="F16" s="132">
        <f>D16*C16*12*G16</f>
        <v>265680000</v>
      </c>
      <c r="G16" s="133">
        <f>I16</f>
        <v>1</v>
      </c>
      <c r="I16" s="133">
        <v>1</v>
      </c>
    </row>
    <row r="17" spans="1:12" s="132" customFormat="1" hidden="1" x14ac:dyDescent="0.2">
      <c r="A17" s="132">
        <f>'Параметры Доходы'!A16</f>
        <v>0</v>
      </c>
      <c r="B17" s="132">
        <f>'Параметры Доходы'!B16</f>
        <v>0</v>
      </c>
      <c r="C17" s="132">
        <f>'Параметры Доходы'!C16</f>
        <v>0</v>
      </c>
      <c r="D17" s="132">
        <f>'Параметры Доходы'!C22</f>
        <v>0</v>
      </c>
      <c r="E17" s="132">
        <f t="shared" ref="E17:E18" si="0">F17/4</f>
        <v>0</v>
      </c>
      <c r="F17" s="132">
        <f t="shared" ref="F17:F18" si="1">D17*C17*12*G17</f>
        <v>0</v>
      </c>
      <c r="G17" s="133">
        <f>I16</f>
        <v>1</v>
      </c>
    </row>
    <row r="18" spans="1:12" s="132" customFormat="1" hidden="1" x14ac:dyDescent="0.2">
      <c r="A18" s="132">
        <f>'Параметры Доходы'!A17</f>
        <v>0</v>
      </c>
      <c r="B18" s="132">
        <f>'Параметры Доходы'!B17</f>
        <v>0</v>
      </c>
      <c r="C18" s="132">
        <f>'Параметры Доходы'!C17</f>
        <v>0</v>
      </c>
      <c r="D18" s="132">
        <f>'Параметры Доходы'!C23</f>
        <v>0</v>
      </c>
      <c r="E18" s="132">
        <f t="shared" si="0"/>
        <v>0</v>
      </c>
      <c r="F18" s="132">
        <f t="shared" si="1"/>
        <v>0</v>
      </c>
      <c r="G18" s="133">
        <f>I16</f>
        <v>1</v>
      </c>
    </row>
    <row r="19" spans="1:12" s="132" customFormat="1" ht="15" x14ac:dyDescent="0.25">
      <c r="E19" s="136">
        <f>SUM(E16:E18)</f>
        <v>66420000</v>
      </c>
      <c r="F19" s="136">
        <f>SUM(F16:F18)</f>
        <v>265680000</v>
      </c>
      <c r="G19" s="133"/>
    </row>
    <row r="20" spans="1:12" s="132" customFormat="1" x14ac:dyDescent="0.2">
      <c r="A20" s="132" t="s">
        <v>132</v>
      </c>
      <c r="G20" s="133"/>
    </row>
    <row r="21" spans="1:12" s="134" customFormat="1" ht="24" x14ac:dyDescent="0.2">
      <c r="A21" s="134" t="s">
        <v>43</v>
      </c>
      <c r="E21" s="134" t="s">
        <v>286</v>
      </c>
      <c r="F21" s="134" t="s">
        <v>287</v>
      </c>
      <c r="G21" s="135" t="s">
        <v>285</v>
      </c>
    </row>
    <row r="22" spans="1:12" s="132" customFormat="1" x14ac:dyDescent="0.2">
      <c r="A22" s="132" t="str">
        <f>'Параметры Расходы'!A38</f>
        <v>Печь "ХЛЕБОПЕЧКА"</v>
      </c>
      <c r="B22" s="132" t="str">
        <f>'Параметры Расходы'!B38</f>
        <v>руб./шт.</v>
      </c>
      <c r="C22" s="133">
        <f>'Параметры Расходы'!C38</f>
        <v>0.4899</v>
      </c>
      <c r="D22" s="132">
        <f>'Параметры Расходы'!D38</f>
        <v>1807731</v>
      </c>
      <c r="E22" s="132">
        <f>F22/4</f>
        <v>32539158</v>
      </c>
      <c r="F22" s="132">
        <f>F16*C22*G22</f>
        <v>130156632</v>
      </c>
      <c r="G22" s="133">
        <f>I22</f>
        <v>1</v>
      </c>
      <c r="I22" s="133">
        <v>1</v>
      </c>
      <c r="K22" s="133">
        <f>E22/E16</f>
        <v>0.4899</v>
      </c>
      <c r="L22" s="133">
        <f>E16/E22</f>
        <v>2.0412329046744233</v>
      </c>
    </row>
    <row r="23" spans="1:12" s="132" customFormat="1" hidden="1" x14ac:dyDescent="0.2">
      <c r="A23" s="132">
        <f>'Параметры Расходы'!A39</f>
        <v>0</v>
      </c>
      <c r="B23" s="132">
        <f>'Параметры Расходы'!B39</f>
        <v>0</v>
      </c>
      <c r="C23" s="133">
        <f>'Параметры Расходы'!C39</f>
        <v>0</v>
      </c>
      <c r="D23" s="132">
        <f>'Параметры Расходы'!D39</f>
        <v>0</v>
      </c>
      <c r="E23" s="132">
        <f t="shared" ref="E23:E24" si="2">F23/4</f>
        <v>0</v>
      </c>
      <c r="F23" s="132">
        <f t="shared" ref="F23:F24" si="3">F17*C23*G23</f>
        <v>0</v>
      </c>
      <c r="G23" s="133">
        <f>I22</f>
        <v>1</v>
      </c>
      <c r="K23" s="133" t="e">
        <f>E23/E17</f>
        <v>#DIV/0!</v>
      </c>
      <c r="L23" s="133" t="e">
        <f t="shared" ref="L23:L24" si="4">E17/E23</f>
        <v>#DIV/0!</v>
      </c>
    </row>
    <row r="24" spans="1:12" s="132" customFormat="1" hidden="1" x14ac:dyDescent="0.2">
      <c r="A24" s="132">
        <f>'Параметры Расходы'!A40</f>
        <v>0</v>
      </c>
      <c r="B24" s="132">
        <f>'Параметры Расходы'!B40</f>
        <v>0</v>
      </c>
      <c r="C24" s="133">
        <f>'Параметры Расходы'!C40</f>
        <v>0</v>
      </c>
      <c r="D24" s="132">
        <f>'Параметры Расходы'!D40</f>
        <v>0</v>
      </c>
      <c r="E24" s="132">
        <f t="shared" si="2"/>
        <v>0</v>
      </c>
      <c r="F24" s="132">
        <f t="shared" si="3"/>
        <v>0</v>
      </c>
      <c r="G24" s="133">
        <f>I22</f>
        <v>1</v>
      </c>
      <c r="I24" s="132" t="e">
        <f>E24*B76-E24</f>
        <v>#DIV/0!</v>
      </c>
      <c r="K24" s="133" t="e">
        <f>E24/E18</f>
        <v>#DIV/0!</v>
      </c>
      <c r="L24" s="133" t="e">
        <f t="shared" si="4"/>
        <v>#DIV/0!</v>
      </c>
    </row>
    <row r="25" spans="1:12" s="132" customFormat="1" ht="15" x14ac:dyDescent="0.25">
      <c r="E25" s="136">
        <f>SUM(E22:E24)</f>
        <v>32539158</v>
      </c>
      <c r="F25" s="136">
        <f>SUM(F22:F24)</f>
        <v>130156632</v>
      </c>
      <c r="G25" s="133"/>
    </row>
    <row r="26" spans="1:12" s="132" customFormat="1" ht="15" x14ac:dyDescent="0.25">
      <c r="E26" s="136"/>
      <c r="F26" s="136"/>
      <c r="G26" s="133"/>
    </row>
    <row r="27" spans="1:12" s="134" customFormat="1" ht="24" x14ac:dyDescent="0.2">
      <c r="A27" s="134" t="s">
        <v>65</v>
      </c>
      <c r="E27" s="134" t="s">
        <v>286</v>
      </c>
      <c r="F27" s="134" t="s">
        <v>287</v>
      </c>
      <c r="G27" s="135"/>
    </row>
    <row r="28" spans="1:12" s="132" customFormat="1" x14ac:dyDescent="0.2">
      <c r="A28" s="132" t="str">
        <f>'Параметры Расходы'!A14</f>
        <v>Заработная плата</v>
      </c>
      <c r="D28" s="132">
        <f>'Параметры Расходы'!C45</f>
        <v>6206690.9199999999</v>
      </c>
      <c r="E28" s="132">
        <f>F28/4</f>
        <v>18620072.759999998</v>
      </c>
      <c r="F28" s="132">
        <f>D28*12*G28</f>
        <v>74480291.039999992</v>
      </c>
      <c r="G28" s="133">
        <v>1</v>
      </c>
    </row>
    <row r="29" spans="1:12" s="132" customFormat="1" x14ac:dyDescent="0.2">
      <c r="A29" s="132" t="str">
        <f>'Параметры Расходы'!A15</f>
        <v>Аренда</v>
      </c>
      <c r="D29" s="132">
        <f>'Параметры Расходы'!C46</f>
        <v>606719</v>
      </c>
      <c r="E29" s="132">
        <f t="shared" ref="E29:E39" si="5">F29/4</f>
        <v>1820157</v>
      </c>
      <c r="F29" s="132">
        <f t="shared" ref="F29:F39" si="6">D29*12*G29</f>
        <v>7280628</v>
      </c>
      <c r="G29" s="133">
        <v>1</v>
      </c>
    </row>
    <row r="30" spans="1:12" s="132" customFormat="1" x14ac:dyDescent="0.2">
      <c r="A30" s="132" t="str">
        <f>'Параметры Расходы'!A16</f>
        <v>Энергия</v>
      </c>
      <c r="D30" s="132">
        <f>'Параметры Расходы'!C47</f>
        <v>37527.46</v>
      </c>
      <c r="E30" s="132">
        <f t="shared" si="5"/>
        <v>112582.38</v>
      </c>
      <c r="F30" s="132">
        <f t="shared" si="6"/>
        <v>450329.52</v>
      </c>
      <c r="G30" s="133">
        <v>1</v>
      </c>
    </row>
    <row r="31" spans="1:12" s="132" customFormat="1" x14ac:dyDescent="0.2">
      <c r="A31" s="132" t="str">
        <f>'Параметры Расходы'!A17</f>
        <v>Вода</v>
      </c>
      <c r="D31" s="132">
        <f>'Параметры Расходы'!C48</f>
        <v>452.01</v>
      </c>
      <c r="E31" s="132">
        <f t="shared" si="5"/>
        <v>1356.03</v>
      </c>
      <c r="F31" s="132">
        <f t="shared" si="6"/>
        <v>5424.12</v>
      </c>
      <c r="G31" s="133">
        <v>1</v>
      </c>
    </row>
    <row r="32" spans="1:12" s="132" customFormat="1" x14ac:dyDescent="0.2">
      <c r="A32" s="132" t="str">
        <f>'Параметры Расходы'!A18</f>
        <v>Вывоз ТБО</v>
      </c>
      <c r="D32" s="132">
        <f>'Параметры Расходы'!C49</f>
        <v>1156.58</v>
      </c>
      <c r="E32" s="132">
        <f t="shared" si="5"/>
        <v>3469.74</v>
      </c>
      <c r="F32" s="132">
        <f t="shared" si="6"/>
        <v>13878.96</v>
      </c>
      <c r="G32" s="133">
        <v>1</v>
      </c>
    </row>
    <row r="33" spans="1:7" s="132" customFormat="1" x14ac:dyDescent="0.2">
      <c r="A33" s="132" t="str">
        <f>'Параметры Расходы'!A19</f>
        <v>Хозяйственные расходы</v>
      </c>
      <c r="D33" s="132">
        <f>'Параметры Расходы'!C50</f>
        <v>9000</v>
      </c>
      <c r="E33" s="132">
        <f t="shared" si="5"/>
        <v>27000</v>
      </c>
      <c r="F33" s="132">
        <f t="shared" si="6"/>
        <v>108000</v>
      </c>
      <c r="G33" s="133">
        <v>1</v>
      </c>
    </row>
    <row r="34" spans="1:7" s="132" customFormat="1" x14ac:dyDescent="0.2">
      <c r="A34" s="132" t="str">
        <f>'Параметры Расходы'!A20</f>
        <v>Канцелярские расходы</v>
      </c>
      <c r="D34" s="132">
        <f>'Параметры Расходы'!C51</f>
        <v>9000</v>
      </c>
      <c r="E34" s="132">
        <f t="shared" si="5"/>
        <v>27000</v>
      </c>
      <c r="F34" s="132">
        <f t="shared" si="6"/>
        <v>108000</v>
      </c>
      <c r="G34" s="133">
        <v>1</v>
      </c>
    </row>
    <row r="35" spans="1:7" s="132" customFormat="1" x14ac:dyDescent="0.2">
      <c r="A35" s="132" t="str">
        <f>'Параметры Расходы'!A21</f>
        <v>Интернет</v>
      </c>
      <c r="D35" s="132">
        <f>'Параметры Расходы'!C52</f>
        <v>9000</v>
      </c>
      <c r="E35" s="132">
        <f t="shared" si="5"/>
        <v>27000</v>
      </c>
      <c r="F35" s="132">
        <f t="shared" si="6"/>
        <v>108000</v>
      </c>
      <c r="G35" s="133">
        <v>1</v>
      </c>
    </row>
    <row r="36" spans="1:7" s="132" customFormat="1" x14ac:dyDescent="0.2">
      <c r="A36" s="132" t="str">
        <f>'Параметры Расходы'!A22</f>
        <v>Телефон</v>
      </c>
      <c r="D36" s="132">
        <f>'Параметры Расходы'!C53</f>
        <v>9000</v>
      </c>
      <c r="E36" s="132">
        <f t="shared" si="5"/>
        <v>27000</v>
      </c>
      <c r="F36" s="132">
        <f t="shared" si="6"/>
        <v>108000</v>
      </c>
      <c r="G36" s="133">
        <v>1</v>
      </c>
    </row>
    <row r="37" spans="1:7" s="132" customFormat="1" x14ac:dyDescent="0.2">
      <c r="A37" s="132" t="str">
        <f>'Параметры Расходы'!A23</f>
        <v>Программное обеспечение</v>
      </c>
      <c r="D37" s="132">
        <f>'Параметры Расходы'!C54</f>
        <v>9000</v>
      </c>
      <c r="E37" s="132">
        <f t="shared" si="5"/>
        <v>27000</v>
      </c>
      <c r="F37" s="132">
        <f t="shared" si="6"/>
        <v>108000</v>
      </c>
      <c r="G37" s="133">
        <v>1</v>
      </c>
    </row>
    <row r="38" spans="1:7" s="132" customFormat="1" x14ac:dyDescent="0.2">
      <c r="A38" s="132" t="str">
        <f>'Параметры Расходы'!A24</f>
        <v>Маркетинг и реклама</v>
      </c>
      <c r="D38" s="132">
        <f>'Параметры Расходы'!C55</f>
        <v>68975.459699999992</v>
      </c>
      <c r="E38" s="132">
        <f t="shared" si="5"/>
        <v>206926.37909999996</v>
      </c>
      <c r="F38" s="132">
        <f t="shared" si="6"/>
        <v>827705.51639999985</v>
      </c>
      <c r="G38" s="133">
        <v>1</v>
      </c>
    </row>
    <row r="39" spans="1:7" s="132" customFormat="1" x14ac:dyDescent="0.2">
      <c r="A39" s="132" t="str">
        <f>'Параметры Расходы'!A25</f>
        <v>Прочие расходы</v>
      </c>
      <c r="D39" s="132">
        <f>'Параметры Расходы'!C56</f>
        <v>34487.729849999996</v>
      </c>
      <c r="E39" s="132">
        <f t="shared" si="5"/>
        <v>103463.18954999998</v>
      </c>
      <c r="F39" s="132">
        <f t="shared" si="6"/>
        <v>413852.75819999992</v>
      </c>
      <c r="G39" s="133">
        <v>1</v>
      </c>
    </row>
    <row r="40" spans="1:7" s="132" customFormat="1" ht="15" x14ac:dyDescent="0.25">
      <c r="E40" s="136">
        <f>F40/4</f>
        <v>21003027.478649996</v>
      </c>
      <c r="F40" s="136">
        <f>SUM(F28:F39)*G40</f>
        <v>84012109.914599985</v>
      </c>
      <c r="G40" s="133">
        <v>1</v>
      </c>
    </row>
    <row r="41" spans="1:7" s="132" customFormat="1" x14ac:dyDescent="0.2">
      <c r="G41" s="133"/>
    </row>
    <row r="42" spans="1:7" s="132" customFormat="1" x14ac:dyDescent="0.2">
      <c r="A42" s="132" t="s">
        <v>288</v>
      </c>
      <c r="B42" s="132">
        <f>'Параметры инвестиции'!B34</f>
        <v>83017109.636688009</v>
      </c>
      <c r="F42" s="132">
        <f>B42*G42</f>
        <v>83017109.636688009</v>
      </c>
      <c r="G42" s="133">
        <v>1</v>
      </c>
    </row>
    <row r="43" spans="1:7" s="132" customFormat="1" x14ac:dyDescent="0.2">
      <c r="G43" s="133"/>
    </row>
    <row r="44" spans="1:7" s="136" customFormat="1" ht="15" x14ac:dyDescent="0.25">
      <c r="A44" s="136" t="s">
        <v>289</v>
      </c>
      <c r="B44" s="136">
        <f>'Параметы Налоги'!AC9</f>
        <v>16554630.499040004</v>
      </c>
      <c r="E44" s="136">
        <f>F44/4</f>
        <v>4138657.624760001</v>
      </c>
      <c r="F44" s="136">
        <f>B44*G44</f>
        <v>16554630.499040004</v>
      </c>
      <c r="G44" s="137">
        <v>1</v>
      </c>
    </row>
    <row r="45" spans="1:7" s="132" customFormat="1" x14ac:dyDescent="0.2">
      <c r="G45" s="133"/>
    </row>
    <row r="46" spans="1:7" s="136" customFormat="1" ht="15" x14ac:dyDescent="0.25">
      <c r="A46" s="136" t="s">
        <v>290</v>
      </c>
      <c r="B46" s="136">
        <f>MAX('Параметры финансирование'!F29:Y29)</f>
        <v>0</v>
      </c>
      <c r="C46" s="136">
        <f>MAX('Параметры финансирование'!F30:Y30)</f>
        <v>0</v>
      </c>
      <c r="E46" s="136">
        <f>B46*G46</f>
        <v>0</v>
      </c>
      <c r="F46" s="136">
        <f>C46*G46</f>
        <v>0</v>
      </c>
      <c r="G46" s="137">
        <v>1</v>
      </c>
    </row>
    <row r="47" spans="1:7" s="132" customFormat="1" x14ac:dyDescent="0.2">
      <c r="G47" s="133"/>
    </row>
    <row r="48" spans="1:7" s="132" customFormat="1" x14ac:dyDescent="0.2">
      <c r="G48" s="133"/>
    </row>
    <row r="49" spans="1:11" s="132" customFormat="1" x14ac:dyDescent="0.2">
      <c r="A49" s="132" t="s">
        <v>291</v>
      </c>
      <c r="E49" s="132">
        <f>E19-E25-E40</f>
        <v>12877814.521350004</v>
      </c>
      <c r="F49" s="132">
        <f>F19-F25-F40</f>
        <v>51511258.085400015</v>
      </c>
      <c r="G49" s="133"/>
    </row>
    <row r="50" spans="1:11" s="132" customFormat="1" x14ac:dyDescent="0.2">
      <c r="G50" s="133"/>
    </row>
    <row r="51" spans="1:11" s="132" customFormat="1" x14ac:dyDescent="0.2">
      <c r="A51" s="132" t="s">
        <v>292</v>
      </c>
      <c r="E51" s="132">
        <f>E49-E44</f>
        <v>8739156.8965900019</v>
      </c>
      <c r="F51" s="132">
        <f>F49-F44</f>
        <v>34956627.586360008</v>
      </c>
      <c r="G51" s="133"/>
    </row>
    <row r="52" spans="1:11" s="132" customFormat="1" x14ac:dyDescent="0.2">
      <c r="G52" s="133"/>
    </row>
    <row r="53" spans="1:11" s="132" customFormat="1" x14ac:dyDescent="0.2">
      <c r="A53" s="132" t="s">
        <v>293</v>
      </c>
      <c r="E53" s="132">
        <f>E51-E46</f>
        <v>8739156.8965900019</v>
      </c>
      <c r="F53" s="132">
        <f>F51-F46</f>
        <v>34956627.586360008</v>
      </c>
      <c r="G53" s="133"/>
    </row>
    <row r="54" spans="1:11" s="132" customFormat="1" x14ac:dyDescent="0.2">
      <c r="G54" s="133"/>
    </row>
    <row r="55" spans="1:11" s="132" customFormat="1" ht="57" x14ac:dyDescent="0.2">
      <c r="E55" s="132" t="s">
        <v>163</v>
      </c>
      <c r="F55" s="132" t="s">
        <v>43</v>
      </c>
      <c r="G55" s="133" t="s">
        <v>294</v>
      </c>
      <c r="H55" s="132" t="s">
        <v>65</v>
      </c>
      <c r="I55" s="132" t="s">
        <v>301</v>
      </c>
      <c r="K55" s="132" t="s">
        <v>302</v>
      </c>
    </row>
    <row r="56" spans="1:11" s="132" customFormat="1" x14ac:dyDescent="0.2">
      <c r="A56" s="138" t="str">
        <f>A16</f>
        <v>Печь "ХЛЕБОПЕЧКА"</v>
      </c>
      <c r="E56" s="132">
        <f>E16</f>
        <v>66420000</v>
      </c>
      <c r="F56" s="132">
        <f>E22</f>
        <v>32539158</v>
      </c>
      <c r="G56" s="132">
        <f>E56-F56</f>
        <v>33880842</v>
      </c>
      <c r="H56" s="132">
        <f>E40+E44+E46</f>
        <v>25141685.103409998</v>
      </c>
      <c r="I56" s="133">
        <f>(H56-G57-G58)/G56</f>
        <v>0.74206199194842903</v>
      </c>
      <c r="K56" s="133">
        <f>(H56-G57-G58-E56)/F56*(-1)</f>
        <v>1.2685735413494719</v>
      </c>
    </row>
    <row r="57" spans="1:11" s="132" customFormat="1" hidden="1" x14ac:dyDescent="0.2">
      <c r="A57" s="138">
        <f t="shared" ref="A57:A58" si="7">A17</f>
        <v>0</v>
      </c>
      <c r="E57" s="132">
        <f t="shared" ref="E57:E58" si="8">E17</f>
        <v>0</v>
      </c>
      <c r="F57" s="132">
        <f>E23</f>
        <v>0</v>
      </c>
      <c r="G57" s="132">
        <f t="shared" ref="G57:G58" si="9">E57-F57</f>
        <v>0</v>
      </c>
      <c r="H57" s="132">
        <f>H56</f>
        <v>25141685.103409998</v>
      </c>
      <c r="I57" s="133" t="e">
        <f>(H57-G56-G58)/G57</f>
        <v>#DIV/0!</v>
      </c>
      <c r="K57" s="133" t="e">
        <f>(H57-G58-G56-E57)/F57*(-1)</f>
        <v>#DIV/0!</v>
      </c>
    </row>
    <row r="58" spans="1:11" s="132" customFormat="1" hidden="1" x14ac:dyDescent="0.2">
      <c r="A58" s="138">
        <f t="shared" si="7"/>
        <v>0</v>
      </c>
      <c r="E58" s="132">
        <f t="shared" si="8"/>
        <v>0</v>
      </c>
      <c r="F58" s="132">
        <f>E24</f>
        <v>0</v>
      </c>
      <c r="G58" s="132">
        <f t="shared" si="9"/>
        <v>0</v>
      </c>
      <c r="H58" s="132">
        <f>H57</f>
        <v>25141685.103409998</v>
      </c>
      <c r="I58" s="133" t="e">
        <f>(H58-G57-G56)/G58</f>
        <v>#DIV/0!</v>
      </c>
      <c r="K58" s="133" t="e">
        <f>(H58-G57-G56-E58)/F58*(-1)</f>
        <v>#DIV/0!</v>
      </c>
    </row>
    <row r="59" spans="1:11" s="132" customFormat="1" x14ac:dyDescent="0.2">
      <c r="G59" s="133"/>
    </row>
    <row r="60" spans="1:11" s="132" customFormat="1" x14ac:dyDescent="0.2">
      <c r="A60" s="132" t="s">
        <v>65</v>
      </c>
      <c r="B60" s="133">
        <f>(E19-E25-E44-E46)/E40</f>
        <v>1.4160903424743663</v>
      </c>
      <c r="G60" s="133"/>
    </row>
    <row r="61" spans="1:11" s="132" customFormat="1" x14ac:dyDescent="0.2">
      <c r="A61" s="132" t="s">
        <v>116</v>
      </c>
      <c r="B61" s="133" t="e">
        <f>(E19-E25-E40-E44)/E46</f>
        <v>#DIV/0!</v>
      </c>
      <c r="G61" s="133"/>
    </row>
    <row r="62" spans="1:11" s="132" customFormat="1" x14ac:dyDescent="0.2">
      <c r="G62" s="133"/>
    </row>
    <row r="63" spans="1:11" s="132" customFormat="1" x14ac:dyDescent="0.2">
      <c r="G63" s="133"/>
    </row>
    <row r="64" spans="1:11" s="132" customFormat="1" x14ac:dyDescent="0.2">
      <c r="G64" s="133"/>
    </row>
    <row r="65" spans="1:7" s="132" customFormat="1" ht="28.5" x14ac:dyDescent="0.2">
      <c r="A65" s="132" t="s">
        <v>295</v>
      </c>
      <c r="B65" s="132" t="s">
        <v>300</v>
      </c>
      <c r="G65" s="133"/>
    </row>
    <row r="66" spans="1:7" s="132" customFormat="1" x14ac:dyDescent="0.2">
      <c r="G66" s="133"/>
    </row>
    <row r="67" spans="1:7" s="132" customFormat="1" x14ac:dyDescent="0.2">
      <c r="A67" s="132" t="s">
        <v>296</v>
      </c>
      <c r="G67" s="133"/>
    </row>
    <row r="68" spans="1:7" s="132" customFormat="1" x14ac:dyDescent="0.2">
      <c r="A68" s="132" t="str">
        <f>A56</f>
        <v>Печь "ХЛЕБОПЕЧКА"</v>
      </c>
      <c r="B68" s="133">
        <f>I56</f>
        <v>0.74206199194842903</v>
      </c>
      <c r="C68" s="133">
        <f t="shared" ref="C68:C70" si="10">1-B68</f>
        <v>0.25793800805157097</v>
      </c>
      <c r="G68" s="133"/>
    </row>
    <row r="69" spans="1:7" s="132" customFormat="1" hidden="1" x14ac:dyDescent="0.2">
      <c r="A69" s="132">
        <f>A57</f>
        <v>0</v>
      </c>
      <c r="B69" s="133" t="e">
        <f>I57</f>
        <v>#DIV/0!</v>
      </c>
      <c r="C69" s="133" t="e">
        <f t="shared" si="10"/>
        <v>#DIV/0!</v>
      </c>
      <c r="G69" s="133"/>
    </row>
    <row r="70" spans="1:7" s="132" customFormat="1" hidden="1" x14ac:dyDescent="0.2">
      <c r="A70" s="132">
        <f>A58</f>
        <v>0</v>
      </c>
      <c r="B70" s="133" t="e">
        <f>I58</f>
        <v>#DIV/0!</v>
      </c>
      <c r="C70" s="133" t="e">
        <f t="shared" si="10"/>
        <v>#DIV/0!</v>
      </c>
      <c r="G70" s="133"/>
    </row>
    <row r="71" spans="1:7" s="132" customFormat="1" x14ac:dyDescent="0.2">
      <c r="A71" s="132" t="s">
        <v>303</v>
      </c>
      <c r="B71" s="133">
        <f>(E40+E44+E46)/(E19-E25)</f>
        <v>0.74206199194842903</v>
      </c>
      <c r="C71" s="133">
        <f>1-B71</f>
        <v>0.25793800805157097</v>
      </c>
      <c r="G71" s="133"/>
    </row>
    <row r="72" spans="1:7" s="132" customFormat="1" x14ac:dyDescent="0.2">
      <c r="C72" s="133"/>
      <c r="G72" s="133"/>
    </row>
    <row r="73" spans="1:7" s="132" customFormat="1" x14ac:dyDescent="0.2">
      <c r="A73" s="132" t="s">
        <v>297</v>
      </c>
      <c r="C73" s="133"/>
      <c r="D73" s="132" t="s">
        <v>308</v>
      </c>
      <c r="G73" s="133"/>
    </row>
    <row r="74" spans="1:7" s="132" customFormat="1" x14ac:dyDescent="0.2">
      <c r="A74" s="132" t="str">
        <f>A68</f>
        <v>Печь "ХЛЕБОПЕЧКА"</v>
      </c>
      <c r="B74" s="133">
        <f>K56</f>
        <v>1.2685735413494719</v>
      </c>
      <c r="C74" s="133"/>
      <c r="D74" s="133">
        <f>L22</f>
        <v>2.0412329046744233</v>
      </c>
      <c r="F74" s="133"/>
      <c r="G74" s="133"/>
    </row>
    <row r="75" spans="1:7" s="132" customFormat="1" hidden="1" x14ac:dyDescent="0.2">
      <c r="A75" s="132">
        <f t="shared" ref="A75:A76" si="11">A69</f>
        <v>0</v>
      </c>
      <c r="B75" s="133" t="e">
        <f t="shared" ref="B75:B76" si="12">K57</f>
        <v>#DIV/0!</v>
      </c>
      <c r="C75" s="133"/>
      <c r="D75" s="133" t="e">
        <f t="shared" ref="D75:D76" si="13">L23</f>
        <v>#DIV/0!</v>
      </c>
      <c r="F75" s="133"/>
      <c r="G75" s="133"/>
    </row>
    <row r="76" spans="1:7" s="132" customFormat="1" hidden="1" x14ac:dyDescent="0.2">
      <c r="A76" s="132">
        <f t="shared" si="11"/>
        <v>0</v>
      </c>
      <c r="B76" s="133" t="e">
        <f t="shared" si="12"/>
        <v>#DIV/0!</v>
      </c>
      <c r="C76" s="133"/>
      <c r="D76" s="133" t="e">
        <f t="shared" si="13"/>
        <v>#DIV/0!</v>
      </c>
      <c r="F76" s="133"/>
      <c r="G76" s="133"/>
    </row>
    <row r="77" spans="1:7" s="132" customFormat="1" x14ac:dyDescent="0.2">
      <c r="A77" s="132" t="s">
        <v>304</v>
      </c>
      <c r="B77" s="133">
        <f>(E40+E44+E46-E19)/E25*(-1)</f>
        <v>1.2685735413494719</v>
      </c>
      <c r="C77" s="133">
        <f>(1-B77)*(-1)</f>
        <v>0.26857354134947187</v>
      </c>
      <c r="F77" s="153"/>
      <c r="G77" s="133"/>
    </row>
    <row r="78" spans="1:7" s="132" customFormat="1" x14ac:dyDescent="0.2">
      <c r="C78" s="133"/>
      <c r="G78" s="133"/>
    </row>
    <row r="79" spans="1:7" s="132" customFormat="1" x14ac:dyDescent="0.2">
      <c r="A79" s="132" t="s">
        <v>298</v>
      </c>
      <c r="B79" s="133">
        <f>B60</f>
        <v>1.4160903424743663</v>
      </c>
      <c r="C79" s="133">
        <f>(1-B79)*(-1)</f>
        <v>0.41609034247436627</v>
      </c>
      <c r="G79" s="133"/>
    </row>
    <row r="80" spans="1:7" s="132" customFormat="1" x14ac:dyDescent="0.2">
      <c r="C80" s="133"/>
      <c r="G80" s="133"/>
    </row>
    <row r="81" spans="1:7" s="132" customFormat="1" x14ac:dyDescent="0.2">
      <c r="A81" s="132" t="s">
        <v>299</v>
      </c>
      <c r="B81" s="133" t="e">
        <f>B61</f>
        <v>#DIV/0!</v>
      </c>
      <c r="C81" s="133" t="e">
        <f t="shared" ref="C81" si="14">(1-B81)*(-1)</f>
        <v>#DIV/0!</v>
      </c>
      <c r="G81" s="133"/>
    </row>
    <row r="82" spans="1:7" s="132" customFormat="1" x14ac:dyDescent="0.2">
      <c r="G82" s="133"/>
    </row>
    <row r="83" spans="1:7" s="132" customFormat="1" x14ac:dyDescent="0.2">
      <c r="G83" s="133"/>
    </row>
    <row r="84" spans="1:7" s="132" customFormat="1" x14ac:dyDescent="0.2">
      <c r="A84" s="132" t="s">
        <v>111</v>
      </c>
      <c r="B84" s="132">
        <f>B42</f>
        <v>83017109.636688009</v>
      </c>
      <c r="G84" s="133"/>
    </row>
    <row r="85" spans="1:7" s="132" customFormat="1" x14ac:dyDescent="0.2">
      <c r="A85" s="132" t="s">
        <v>175</v>
      </c>
      <c r="B85" s="132">
        <f>E51</f>
        <v>8739156.8965900019</v>
      </c>
      <c r="G85" s="133"/>
    </row>
    <row r="86" spans="1:7" s="132" customFormat="1" x14ac:dyDescent="0.2">
      <c r="A86" s="132" t="s">
        <v>227</v>
      </c>
      <c r="B86" s="132">
        <f>B84/B85</f>
        <v>9.4994414929294937</v>
      </c>
      <c r="G86" s="133"/>
    </row>
    <row r="87" spans="1:7" s="132" customFormat="1" x14ac:dyDescent="0.2">
      <c r="G87" s="133"/>
    </row>
    <row r="88" spans="1:7" s="139" customFormat="1" ht="15" thickBot="1" x14ac:dyDescent="0.25">
      <c r="G88" s="140"/>
    </row>
    <row r="89" spans="1:7" ht="15" thickTop="1" x14ac:dyDescent="0.2"/>
    <row r="90" spans="1:7" ht="15" thickBot="1" x14ac:dyDescent="0.25"/>
    <row r="91" spans="1:7" s="147" customFormat="1" ht="27.75" thickTop="1" thickBot="1" x14ac:dyDescent="0.45">
      <c r="A91" s="365" t="s">
        <v>32</v>
      </c>
      <c r="B91" s="365"/>
      <c r="C91" s="366"/>
      <c r="G91" s="148"/>
    </row>
    <row r="92" spans="1:7" s="149" customFormat="1" ht="15" thickTop="1" x14ac:dyDescent="0.2">
      <c r="G92" s="150"/>
    </row>
    <row r="93" spans="1:7" s="149" customFormat="1" x14ac:dyDescent="0.2">
      <c r="G93" s="150"/>
    </row>
    <row r="94" spans="1:7" s="149" customFormat="1" x14ac:dyDescent="0.2">
      <c r="G94" s="150"/>
    </row>
    <row r="95" spans="1:7" s="149" customFormat="1" x14ac:dyDescent="0.2">
      <c r="B95" s="150"/>
      <c r="G95" s="150"/>
    </row>
    <row r="96" spans="1:7" s="149" customFormat="1" x14ac:dyDescent="0.2">
      <c r="B96" s="150"/>
      <c r="G96" s="150"/>
    </row>
    <row r="97" spans="7:7" s="149" customFormat="1" x14ac:dyDescent="0.2">
      <c r="G97" s="150"/>
    </row>
    <row r="98" spans="7:7" s="149" customFormat="1" x14ac:dyDescent="0.2">
      <c r="G98" s="150"/>
    </row>
    <row r="99" spans="7:7" s="149" customFormat="1" x14ac:dyDescent="0.2">
      <c r="G99" s="150"/>
    </row>
    <row r="100" spans="7:7" s="149" customFormat="1" x14ac:dyDescent="0.2">
      <c r="G100" s="150"/>
    </row>
    <row r="101" spans="7:7" s="149" customFormat="1" x14ac:dyDescent="0.2">
      <c r="G101" s="150"/>
    </row>
    <row r="102" spans="7:7" s="149" customFormat="1" x14ac:dyDescent="0.2">
      <c r="G102" s="150"/>
    </row>
    <row r="103" spans="7:7" s="149" customFormat="1" x14ac:dyDescent="0.2">
      <c r="G103" s="150"/>
    </row>
    <row r="104" spans="7:7" s="149" customFormat="1" x14ac:dyDescent="0.2">
      <c r="G104" s="150"/>
    </row>
    <row r="105" spans="7:7" s="149" customFormat="1" x14ac:dyDescent="0.2">
      <c r="G105" s="150"/>
    </row>
    <row r="106" spans="7:7" s="149" customFormat="1" x14ac:dyDescent="0.2">
      <c r="G106" s="150"/>
    </row>
    <row r="107" spans="7:7" s="149" customFormat="1" x14ac:dyDescent="0.2">
      <c r="G107" s="150"/>
    </row>
    <row r="108" spans="7:7" s="149" customFormat="1" x14ac:dyDescent="0.2">
      <c r="G108" s="150"/>
    </row>
    <row r="109" spans="7:7" s="151" customFormat="1" ht="15" thickBot="1" x14ac:dyDescent="0.25">
      <c r="G109" s="152"/>
    </row>
    <row r="110" spans="7:7" ht="15" thickTop="1" x14ac:dyDescent="0.2"/>
  </sheetData>
  <mergeCells count="3">
    <mergeCell ref="A12:C12"/>
    <mergeCell ref="A2:C2"/>
    <mergeCell ref="A91:C9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-0.249977111117893"/>
  </sheetPr>
  <dimension ref="A1:D38"/>
  <sheetViews>
    <sheetView workbookViewId="0">
      <selection activeCell="A4" sqref="A4:B36"/>
    </sheetView>
  </sheetViews>
  <sheetFormatPr defaultColWidth="59.5703125" defaultRowHeight="14.25" x14ac:dyDescent="0.2"/>
  <cols>
    <col min="1" max="1" width="57.85546875" style="1" bestFit="1" customWidth="1"/>
    <col min="2" max="2" width="15" style="1" bestFit="1" customWidth="1"/>
    <col min="3" max="16384" width="59.5703125" style="1"/>
  </cols>
  <sheetData>
    <row r="1" spans="1:2" ht="15" thickBot="1" x14ac:dyDescent="0.25"/>
    <row r="2" spans="1:2" s="2" customFormat="1" ht="18" thickTop="1" x14ac:dyDescent="0.3">
      <c r="A2" s="334" t="s">
        <v>274</v>
      </c>
      <c r="B2" s="335"/>
    </row>
    <row r="3" spans="1:2" s="3" customFormat="1" ht="17.25" x14ac:dyDescent="0.3">
      <c r="A3" s="336"/>
      <c r="B3" s="336"/>
    </row>
    <row r="4" spans="1:2" s="3" customFormat="1" ht="17.25" x14ac:dyDescent="0.3">
      <c r="A4" s="337" t="s">
        <v>260</v>
      </c>
      <c r="B4" s="336"/>
    </row>
    <row r="5" spans="1:2" s="3" customFormat="1" ht="15" x14ac:dyDescent="0.2">
      <c r="A5" s="338" t="s">
        <v>261</v>
      </c>
      <c r="B5" s="339">
        <f>'Параметры инвестиции'!B15</f>
        <v>83017109.636688009</v>
      </c>
    </row>
    <row r="6" spans="1:2" s="3" customFormat="1" ht="15" x14ac:dyDescent="0.2">
      <c r="A6" s="340" t="s">
        <v>262</v>
      </c>
      <c r="B6" s="339">
        <f>'Возврат инвестиций'!$B$7</f>
        <v>83017109.636688009</v>
      </c>
    </row>
    <row r="7" spans="1:2" s="70" customFormat="1" ht="15" x14ac:dyDescent="0.2">
      <c r="A7" s="341" t="s">
        <v>263</v>
      </c>
      <c r="B7" s="342">
        <f>'Возврат инвестиций'!$B$5</f>
        <v>77873462.358424991</v>
      </c>
    </row>
    <row r="8" spans="1:2" s="70" customFormat="1" ht="15" x14ac:dyDescent="0.2">
      <c r="A8" s="341" t="s">
        <v>279</v>
      </c>
      <c r="B8" s="342">
        <f>'Возврат инвестиций'!$B$6</f>
        <v>5143647.2782630194</v>
      </c>
    </row>
    <row r="9" spans="1:2" s="3" customFormat="1" ht="15" hidden="1" x14ac:dyDescent="0.2">
      <c r="A9" s="340" t="s">
        <v>116</v>
      </c>
      <c r="B9" s="339">
        <f>'Параметры финансирование'!B12</f>
        <v>0</v>
      </c>
    </row>
    <row r="10" spans="1:2" s="70" customFormat="1" ht="15" hidden="1" x14ac:dyDescent="0.2">
      <c r="A10" s="341" t="s">
        <v>264</v>
      </c>
      <c r="B10" s="343">
        <f>'Параметры финансирование'!B63</f>
        <v>0.16</v>
      </c>
    </row>
    <row r="11" spans="1:2" s="70" customFormat="1" ht="15" hidden="1" x14ac:dyDescent="0.2">
      <c r="A11" s="341" t="s">
        <v>265</v>
      </c>
      <c r="B11" s="344">
        <f>'Параметры финансирование'!B64</f>
        <v>5</v>
      </c>
    </row>
    <row r="12" spans="1:2" s="70" customFormat="1" ht="15" hidden="1" x14ac:dyDescent="0.2">
      <c r="A12" s="341" t="s">
        <v>266</v>
      </c>
      <c r="B12" s="344">
        <f>'Параметры финансирование'!B65</f>
        <v>0</v>
      </c>
    </row>
    <row r="13" spans="1:2" s="70" customFormat="1" ht="15" hidden="1" x14ac:dyDescent="0.2">
      <c r="A13" s="341" t="s">
        <v>267</v>
      </c>
      <c r="B13" s="344">
        <f>'Параметры финансирование'!B66</f>
        <v>0</v>
      </c>
    </row>
    <row r="14" spans="1:2" s="3" customFormat="1" ht="17.25" hidden="1" x14ac:dyDescent="0.3">
      <c r="A14" s="336"/>
      <c r="B14" s="336"/>
    </row>
    <row r="15" spans="1:2" s="3" customFormat="1" ht="17.25" x14ac:dyDescent="0.3">
      <c r="A15" s="337" t="s">
        <v>197</v>
      </c>
      <c r="B15" s="336"/>
    </row>
    <row r="16" spans="1:2" s="3" customFormat="1" ht="15" x14ac:dyDescent="0.2">
      <c r="A16" s="338" t="s">
        <v>278</v>
      </c>
      <c r="B16" s="339">
        <f>SUM(B17:B19)</f>
        <v>265680000</v>
      </c>
    </row>
    <row r="17" spans="1:4" s="70" customFormat="1" ht="15" x14ac:dyDescent="0.2">
      <c r="A17" s="345" t="str">
        <f>Результаты!B18</f>
        <v>Печь "ХЛЕБОПЕЧКА"</v>
      </c>
      <c r="B17" s="342">
        <f>'Параметры Доходы'!AA5</f>
        <v>265680000</v>
      </c>
    </row>
    <row r="18" spans="1:4" s="70" customFormat="1" ht="15" hidden="1" x14ac:dyDescent="0.2">
      <c r="A18" s="345">
        <f>Результаты!B19</f>
        <v>0</v>
      </c>
      <c r="B18" s="342">
        <f>'Параметры Доходы'!AA6</f>
        <v>0</v>
      </c>
    </row>
    <row r="19" spans="1:4" s="70" customFormat="1" ht="15" hidden="1" x14ac:dyDescent="0.2">
      <c r="A19" s="345">
        <f>Результаты!B20</f>
        <v>0</v>
      </c>
      <c r="B19" s="342">
        <f>'Параметры Доходы'!AA7</f>
        <v>0</v>
      </c>
    </row>
    <row r="20" spans="1:4" s="3" customFormat="1" ht="15" x14ac:dyDescent="0.2">
      <c r="A20" s="338" t="s">
        <v>277</v>
      </c>
      <c r="B20" s="339">
        <f>SUM(B21:B23)</f>
        <v>230723372.41363999</v>
      </c>
      <c r="C20" s="10"/>
    </row>
    <row r="21" spans="1:4" s="70" customFormat="1" ht="15" x14ac:dyDescent="0.2">
      <c r="A21" s="345" t="s">
        <v>43</v>
      </c>
      <c r="B21" s="342">
        <f>'Параметры Расходы'!C9</f>
        <v>130156632</v>
      </c>
    </row>
    <row r="22" spans="1:4" s="70" customFormat="1" ht="15" x14ac:dyDescent="0.2">
      <c r="A22" s="345" t="s">
        <v>65</v>
      </c>
      <c r="B22" s="342">
        <f>'Параметры Расходы'!C26</f>
        <v>84012109.914599985</v>
      </c>
    </row>
    <row r="23" spans="1:4" s="70" customFormat="1" ht="15" x14ac:dyDescent="0.2">
      <c r="A23" s="345" t="s">
        <v>133</v>
      </c>
      <c r="B23" s="342">
        <f>'Параметы Налоги'!AC9</f>
        <v>16554630.499040004</v>
      </c>
    </row>
    <row r="24" spans="1:4" s="3" customFormat="1" ht="17.25" x14ac:dyDescent="0.3">
      <c r="A24" s="346" t="s">
        <v>276</v>
      </c>
      <c r="B24" s="347">
        <f>Прибыль!AB7</f>
        <v>135523368</v>
      </c>
    </row>
    <row r="25" spans="1:4" s="3" customFormat="1" ht="15" x14ac:dyDescent="0.2">
      <c r="A25" s="338" t="s">
        <v>275</v>
      </c>
      <c r="B25" s="339">
        <f>B16-B20</f>
        <v>34956627.586360008</v>
      </c>
      <c r="C25" s="10"/>
      <c r="D25" s="10"/>
    </row>
    <row r="26" spans="1:4" s="3" customFormat="1" ht="17.25" x14ac:dyDescent="0.3">
      <c r="A26" s="336"/>
      <c r="B26" s="336"/>
    </row>
    <row r="27" spans="1:4" s="3" customFormat="1" ht="17.25" x14ac:dyDescent="0.3">
      <c r="A27" s="337" t="s">
        <v>268</v>
      </c>
      <c r="B27" s="336"/>
    </row>
    <row r="28" spans="1:4" s="3" customFormat="1" ht="17.25" x14ac:dyDescent="0.3">
      <c r="A28" s="346" t="s">
        <v>269</v>
      </c>
      <c r="B28" s="348">
        <f>B25/B16</f>
        <v>0.13157417790710632</v>
      </c>
    </row>
    <row r="29" spans="1:4" s="3" customFormat="1" ht="17.25" x14ac:dyDescent="0.3">
      <c r="A29" s="346" t="s">
        <v>270</v>
      </c>
      <c r="B29" s="348">
        <f>B25/B5</f>
        <v>0.42107738681029094</v>
      </c>
    </row>
    <row r="30" spans="1:4" s="3" customFormat="1" ht="17.25" x14ac:dyDescent="0.3">
      <c r="A30" s="346" t="s">
        <v>271</v>
      </c>
      <c r="B30" s="348">
        <f>B24/B16</f>
        <v>0.5101</v>
      </c>
    </row>
    <row r="31" spans="1:4" s="3" customFormat="1" ht="17.25" x14ac:dyDescent="0.3">
      <c r="A31" s="336"/>
      <c r="B31" s="336"/>
    </row>
    <row r="32" spans="1:4" s="3" customFormat="1" ht="17.25" x14ac:dyDescent="0.3">
      <c r="A32" s="337" t="s">
        <v>272</v>
      </c>
      <c r="B32" s="336"/>
    </row>
    <row r="33" spans="1:2" s="3" customFormat="1" ht="17.25" x14ac:dyDescent="0.3">
      <c r="A33" s="346" t="s">
        <v>202</v>
      </c>
      <c r="B33" s="347">
        <f>B5</f>
        <v>83017109.636688009</v>
      </c>
    </row>
    <row r="34" spans="1:2" s="3" customFormat="1" ht="17.25" x14ac:dyDescent="0.3">
      <c r="A34" s="346" t="s">
        <v>280</v>
      </c>
      <c r="B34" s="336">
        <f>'Инвестиционный анализ'!C14</f>
        <v>3.25</v>
      </c>
    </row>
    <row r="35" spans="1:2" s="3" customFormat="1" ht="17.25" x14ac:dyDescent="0.3">
      <c r="A35" s="346" t="s">
        <v>258</v>
      </c>
      <c r="B35" s="347">
        <f>'Инвестиционный анализ'!B30</f>
        <v>959396.4610064748</v>
      </c>
    </row>
    <row r="36" spans="1:2" s="3" customFormat="1" ht="17.25" x14ac:dyDescent="0.3">
      <c r="A36" s="346" t="s">
        <v>273</v>
      </c>
      <c r="B36" s="348">
        <f>'Инвестиционный анализ'!C34</f>
        <v>0.2051078541210396</v>
      </c>
    </row>
    <row r="37" spans="1:2" s="41" customFormat="1" ht="18" thickBot="1" x14ac:dyDescent="0.35">
      <c r="A37" s="349"/>
      <c r="B37" s="349"/>
    </row>
    <row r="38" spans="1:2" ht="15" thickTop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2:J37"/>
  <sheetViews>
    <sheetView workbookViewId="0">
      <selection activeCell="B31" sqref="B31"/>
    </sheetView>
  </sheetViews>
  <sheetFormatPr defaultRowHeight="14.25" x14ac:dyDescent="0.2"/>
  <cols>
    <col min="1" max="1" width="9.140625" style="1"/>
    <col min="2" max="2" width="54.5703125" style="1" bestFit="1" customWidth="1"/>
    <col min="3" max="3" width="20" style="1" customWidth="1"/>
    <col min="4" max="16384" width="9.140625" style="1"/>
  </cols>
  <sheetData>
    <row r="2" spans="1:10" ht="33.75" x14ac:dyDescent="0.5">
      <c r="A2" s="386" t="s">
        <v>339</v>
      </c>
      <c r="B2" s="386"/>
      <c r="C2" s="386"/>
      <c r="D2" s="386"/>
      <c r="E2" s="386"/>
      <c r="F2" s="386"/>
      <c r="G2" s="386"/>
      <c r="H2" s="386"/>
      <c r="I2" s="386"/>
      <c r="J2" s="386"/>
    </row>
    <row r="5" spans="1:10" ht="18" x14ac:dyDescent="0.25">
      <c r="B5" s="387" t="str">
        <f>Резюме!A4</f>
        <v>Инвестиции и финансирование проекта</v>
      </c>
      <c r="C5" s="388"/>
    </row>
    <row r="6" spans="1:10" ht="15" x14ac:dyDescent="0.25">
      <c r="B6" s="177" t="str">
        <f>Резюме!A5</f>
        <v>Инвестиций всего</v>
      </c>
      <c r="C6" s="178">
        <f>Резюме!B5</f>
        <v>83017109.636688009</v>
      </c>
    </row>
    <row r="7" spans="1:10" ht="15" x14ac:dyDescent="0.25">
      <c r="B7" s="179" t="str">
        <f>Резюме!A6</f>
        <v>Инвестиции собственника бизнеса</v>
      </c>
      <c r="C7" s="178">
        <f>Резюме!B6</f>
        <v>83017109.636688009</v>
      </c>
    </row>
    <row r="8" spans="1:10" x14ac:dyDescent="0.2">
      <c r="B8" s="180" t="str">
        <f>Резюме!A7</f>
        <v>В бизнес</v>
      </c>
      <c r="C8" s="181">
        <f>Резюме!B7</f>
        <v>77873462.358424991</v>
      </c>
    </row>
    <row r="9" spans="1:10" x14ac:dyDescent="0.2">
      <c r="B9" s="180" t="str">
        <f>Резюме!A8</f>
        <v>На покрытие кассовых разрывов на первый год</v>
      </c>
      <c r="C9" s="181">
        <f>Резюме!B8</f>
        <v>5143647.2782630194</v>
      </c>
    </row>
    <row r="10" spans="1:10" ht="15" x14ac:dyDescent="0.25">
      <c r="B10" s="179" t="str">
        <f>Резюме!A9</f>
        <v>Кредит</v>
      </c>
      <c r="C10" s="178">
        <f>Резюме!B9</f>
        <v>0</v>
      </c>
    </row>
    <row r="11" spans="1:10" x14ac:dyDescent="0.2">
      <c r="B11" s="180" t="str">
        <f>Резюме!A10</f>
        <v>Процентная ставка</v>
      </c>
      <c r="C11" s="182">
        <f>Резюме!B10</f>
        <v>0.16</v>
      </c>
    </row>
    <row r="12" spans="1:10" x14ac:dyDescent="0.2">
      <c r="B12" s="180" t="str">
        <f>Резюме!A11</f>
        <v>Срок кредита</v>
      </c>
      <c r="C12" s="183">
        <f>Резюме!B11</f>
        <v>5</v>
      </c>
    </row>
    <row r="13" spans="1:10" x14ac:dyDescent="0.2">
      <c r="B13" s="180" t="str">
        <f>Резюме!A12</f>
        <v>Отсрочка по уплате тела кредита</v>
      </c>
      <c r="C13" s="183">
        <f>Резюме!B12</f>
        <v>0</v>
      </c>
    </row>
    <row r="14" spans="1:10" x14ac:dyDescent="0.2">
      <c r="B14" s="180" t="str">
        <f>Резюме!A13</f>
        <v>Отсрочка по уплате процентов</v>
      </c>
      <c r="C14" s="183">
        <f>Резюме!B13</f>
        <v>0</v>
      </c>
    </row>
    <row r="15" spans="1:10" x14ac:dyDescent="0.2">
      <c r="B15" s="184"/>
      <c r="C15" s="176"/>
    </row>
    <row r="16" spans="1:10" ht="18" x14ac:dyDescent="0.25">
      <c r="B16" s="387" t="str">
        <f>Резюме!A15</f>
        <v>Операционная деятельность</v>
      </c>
      <c r="C16" s="388"/>
    </row>
    <row r="17" spans="2:3" ht="15" x14ac:dyDescent="0.25">
      <c r="B17" s="177" t="str">
        <f>Резюме!A16</f>
        <v>Выручка, год</v>
      </c>
      <c r="C17" s="178">
        <f>Резюме!B16</f>
        <v>265680000</v>
      </c>
    </row>
    <row r="18" spans="2:3" x14ac:dyDescent="0.2">
      <c r="B18" s="185" t="str">
        <f>'Параметры Доходы'!A15</f>
        <v>Печь "ХЛЕБОПЕЧКА"</v>
      </c>
      <c r="C18" s="181">
        <f>Резюме!B17</f>
        <v>265680000</v>
      </c>
    </row>
    <row r="19" spans="2:3" hidden="1" x14ac:dyDescent="0.2">
      <c r="B19" s="185">
        <f>'Параметры Доходы'!A16</f>
        <v>0</v>
      </c>
      <c r="C19" s="181">
        <f>Резюме!B18</f>
        <v>0</v>
      </c>
    </row>
    <row r="20" spans="2:3" hidden="1" x14ac:dyDescent="0.2">
      <c r="B20" s="185">
        <f>'Параметры Доходы'!A17</f>
        <v>0</v>
      </c>
      <c r="C20" s="181">
        <f>Резюме!B19</f>
        <v>0</v>
      </c>
    </row>
    <row r="21" spans="2:3" ht="15" x14ac:dyDescent="0.25">
      <c r="B21" s="177" t="str">
        <f>Резюме!A20</f>
        <v>Расходы, год</v>
      </c>
      <c r="C21" s="178">
        <f>Резюме!B20</f>
        <v>230723372.41363999</v>
      </c>
    </row>
    <row r="22" spans="2:3" x14ac:dyDescent="0.2">
      <c r="B22" s="185" t="str">
        <f>Резюме!A21</f>
        <v>Переменные расходы</v>
      </c>
      <c r="C22" s="181">
        <f>Резюме!B21</f>
        <v>130156632</v>
      </c>
    </row>
    <row r="23" spans="2:3" x14ac:dyDescent="0.2">
      <c r="B23" s="185" t="str">
        <f>Резюме!A22</f>
        <v>Постоянные расходы</v>
      </c>
      <c r="C23" s="181">
        <f>Резюме!B22</f>
        <v>84012109.914599985</v>
      </c>
    </row>
    <row r="24" spans="2:3" x14ac:dyDescent="0.2">
      <c r="B24" s="185" t="str">
        <f>Резюме!A23</f>
        <v>Налоги</v>
      </c>
      <c r="C24" s="181">
        <f>Резюме!B23</f>
        <v>16554630.499040004</v>
      </c>
    </row>
    <row r="25" spans="2:3" x14ac:dyDescent="0.2">
      <c r="B25" s="186" t="str">
        <f>Резюме!A24</f>
        <v>Маржинальная прибыль, год</v>
      </c>
      <c r="C25" s="187">
        <f>Резюме!B24</f>
        <v>135523368</v>
      </c>
    </row>
    <row r="26" spans="2:3" ht="15" x14ac:dyDescent="0.25">
      <c r="B26" s="177" t="str">
        <f>Резюме!A25</f>
        <v>Чистая прибыль, год</v>
      </c>
      <c r="C26" s="178">
        <f>Резюме!B25</f>
        <v>34956627.586360008</v>
      </c>
    </row>
    <row r="27" spans="2:3" x14ac:dyDescent="0.2">
      <c r="B27" s="184"/>
      <c r="C27" s="176"/>
    </row>
    <row r="28" spans="2:3" ht="18" x14ac:dyDescent="0.25">
      <c r="B28" s="387" t="str">
        <f>Резюме!A27</f>
        <v>Анализ рентабельности</v>
      </c>
      <c r="C28" s="388"/>
    </row>
    <row r="29" spans="2:3" x14ac:dyDescent="0.2">
      <c r="B29" s="186" t="str">
        <f>Резюме!A28</f>
        <v>Рентабельность продаж (Прибыль к Выручке)</v>
      </c>
      <c r="C29" s="188">
        <f>Резюме!B28</f>
        <v>0.13157417790710632</v>
      </c>
    </row>
    <row r="30" spans="2:3" x14ac:dyDescent="0.2">
      <c r="B30" s="186" t="str">
        <f>Резюме!A29</f>
        <v>Рентабельность активов (Прибыль к Инвестициям)</v>
      </c>
      <c r="C30" s="188">
        <f>Резюме!B29</f>
        <v>0.42107738681029094</v>
      </c>
    </row>
    <row r="31" spans="2:3" x14ac:dyDescent="0.2">
      <c r="B31" s="186" t="str">
        <f>Резюме!A30</f>
        <v>Маржинальность бизнеса (Маржа к Выручке)</v>
      </c>
      <c r="C31" s="188">
        <f>Резюме!B30</f>
        <v>0.5101</v>
      </c>
    </row>
    <row r="32" spans="2:3" x14ac:dyDescent="0.2">
      <c r="B32" s="184"/>
      <c r="C32" s="176"/>
    </row>
    <row r="33" spans="2:3" ht="18" x14ac:dyDescent="0.25">
      <c r="B33" s="387" t="str">
        <f>Резюме!A32</f>
        <v>Инвестиционный анализ</v>
      </c>
      <c r="C33" s="388"/>
    </row>
    <row r="34" spans="2:3" x14ac:dyDescent="0.2">
      <c r="B34" s="186" t="str">
        <f>Резюме!A33</f>
        <v>Инвестиции в бизнес</v>
      </c>
      <c r="C34" s="187">
        <f>Резюме!B33</f>
        <v>83017109.636688009</v>
      </c>
    </row>
    <row r="35" spans="2:3" x14ac:dyDescent="0.2">
      <c r="B35" s="186" t="str">
        <f>Резюме!A34</f>
        <v>Срок окупаемости, лет</v>
      </c>
      <c r="C35" s="176">
        <f>Резюме!B34</f>
        <v>3.25</v>
      </c>
    </row>
    <row r="36" spans="2:3" x14ac:dyDescent="0.2">
      <c r="B36" s="186" t="str">
        <f>Резюме!A35</f>
        <v>ЧДД</v>
      </c>
      <c r="C36" s="187">
        <f>Резюме!B35</f>
        <v>959396.4610064748</v>
      </c>
    </row>
    <row r="37" spans="2:3" x14ac:dyDescent="0.2">
      <c r="B37" s="186" t="str">
        <f>Резюме!A36</f>
        <v>ВНД</v>
      </c>
      <c r="C37" s="188">
        <f>Резюме!B36</f>
        <v>0.2051078541210396</v>
      </c>
    </row>
  </sheetData>
  <mergeCells count="5">
    <mergeCell ref="A2:J2"/>
    <mergeCell ref="B33:C33"/>
    <mergeCell ref="B28:C28"/>
    <mergeCell ref="B16:C16"/>
    <mergeCell ref="B5:C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2:E25"/>
  <sheetViews>
    <sheetView workbookViewId="0">
      <selection activeCell="C5" sqref="C5:D25"/>
    </sheetView>
  </sheetViews>
  <sheetFormatPr defaultRowHeight="14.25" x14ac:dyDescent="0.2"/>
  <cols>
    <col min="1" max="1" width="20.5703125" style="1" bestFit="1" customWidth="1"/>
    <col min="2" max="2" width="9.140625" style="1"/>
    <col min="3" max="3" width="53" style="1" customWidth="1"/>
    <col min="4" max="4" width="18.5703125" style="1" customWidth="1"/>
    <col min="5" max="5" width="15.85546875" style="1" customWidth="1"/>
    <col min="6" max="16384" width="9.140625" style="1"/>
  </cols>
  <sheetData>
    <row r="2" spans="1:5" ht="33.75" x14ac:dyDescent="0.5">
      <c r="A2" s="386" t="s">
        <v>319</v>
      </c>
      <c r="B2" s="386"/>
      <c r="C2" s="386"/>
      <c r="D2" s="386"/>
      <c r="E2" s="386"/>
    </row>
    <row r="5" spans="1:5" ht="36" x14ac:dyDescent="0.25">
      <c r="C5" s="168" t="s">
        <v>320</v>
      </c>
    </row>
    <row r="6" spans="1:5" ht="15" x14ac:dyDescent="0.25">
      <c r="C6" s="189" t="s">
        <v>321</v>
      </c>
      <c r="D6" s="190" t="s">
        <v>79</v>
      </c>
    </row>
    <row r="7" spans="1:5" ht="15" x14ac:dyDescent="0.25">
      <c r="C7" s="160" t="s">
        <v>322</v>
      </c>
      <c r="D7" s="161">
        <f>'Инвестиционный анализ'!B16</f>
        <v>174783137.93180004</v>
      </c>
    </row>
    <row r="8" spans="1:5" x14ac:dyDescent="0.2">
      <c r="C8" s="162" t="s">
        <v>327</v>
      </c>
      <c r="D8" s="163">
        <f>ОДДС!F82</f>
        <v>4</v>
      </c>
    </row>
    <row r="9" spans="1:5" x14ac:dyDescent="0.2">
      <c r="C9" s="164" t="s">
        <v>331</v>
      </c>
      <c r="D9" s="165">
        <f>'Параметры Доходы'!E19</f>
        <v>5</v>
      </c>
    </row>
    <row r="11" spans="1:5" ht="36" x14ac:dyDescent="0.25">
      <c r="C11" s="168" t="s">
        <v>323</v>
      </c>
    </row>
    <row r="12" spans="1:5" ht="15" x14ac:dyDescent="0.25">
      <c r="C12" s="158" t="s">
        <v>321</v>
      </c>
      <c r="D12" s="159" t="s">
        <v>79</v>
      </c>
    </row>
    <row r="13" spans="1:5" x14ac:dyDescent="0.2">
      <c r="C13" s="162" t="s">
        <v>284</v>
      </c>
      <c r="D13" s="166">
        <f>Резюме!B16</f>
        <v>265680000</v>
      </c>
    </row>
    <row r="14" spans="1:5" x14ac:dyDescent="0.2">
      <c r="C14" s="169" t="str">
        <f>Резюме!A17</f>
        <v>Печь "ХЛЕБОПЕЧКА"</v>
      </c>
      <c r="D14" s="170">
        <f>Резюме!B17</f>
        <v>265680000</v>
      </c>
    </row>
    <row r="15" spans="1:5" hidden="1" x14ac:dyDescent="0.2">
      <c r="C15" s="169">
        <f>Резюме!A18</f>
        <v>0</v>
      </c>
      <c r="D15" s="170">
        <f>Резюме!B18</f>
        <v>0</v>
      </c>
    </row>
    <row r="16" spans="1:5" hidden="1" x14ac:dyDescent="0.2">
      <c r="C16" s="169">
        <f>Резюме!A19</f>
        <v>0</v>
      </c>
      <c r="D16" s="170">
        <f>Резюме!B19</f>
        <v>0</v>
      </c>
    </row>
    <row r="17" spans="3:4" ht="15" x14ac:dyDescent="0.25">
      <c r="C17" s="160" t="s">
        <v>324</v>
      </c>
      <c r="D17" s="161">
        <f>Резюме!B25</f>
        <v>34956627.586360008</v>
      </c>
    </row>
    <row r="18" spans="3:4" x14ac:dyDescent="0.2">
      <c r="C18" s="164" t="str">
        <f>Резюме!A28</f>
        <v>Рентабельность продаж (Прибыль к Выручке)</v>
      </c>
      <c r="D18" s="167">
        <f>Резюме!B28</f>
        <v>0.13157417790710632</v>
      </c>
    </row>
    <row r="20" spans="3:4" ht="36" x14ac:dyDescent="0.25">
      <c r="C20" s="168" t="s">
        <v>330</v>
      </c>
    </row>
    <row r="21" spans="3:4" ht="15" x14ac:dyDescent="0.25">
      <c r="C21" s="158" t="s">
        <v>321</v>
      </c>
      <c r="D21" s="159" t="s">
        <v>79</v>
      </c>
    </row>
    <row r="22" spans="3:4" x14ac:dyDescent="0.2">
      <c r="C22" s="162" t="s">
        <v>329</v>
      </c>
      <c r="D22" s="163">
        <f>Резюме!B11</f>
        <v>5</v>
      </c>
    </row>
    <row r="23" spans="3:4" x14ac:dyDescent="0.2">
      <c r="C23" s="162" t="s">
        <v>328</v>
      </c>
      <c r="D23" s="163">
        <f>Резюме!B34</f>
        <v>3.25</v>
      </c>
    </row>
    <row r="24" spans="3:4" x14ac:dyDescent="0.2">
      <c r="C24" s="162" t="s">
        <v>325</v>
      </c>
      <c r="D24" s="166">
        <f>Резюме!B35</f>
        <v>959396.4610064748</v>
      </c>
    </row>
    <row r="25" spans="3:4" x14ac:dyDescent="0.2">
      <c r="C25" s="164" t="s">
        <v>326</v>
      </c>
      <c r="D25" s="167">
        <f>Резюме!B36</f>
        <v>0.2051078541210396</v>
      </c>
    </row>
  </sheetData>
  <mergeCells count="1">
    <mergeCell ref="A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2:V60"/>
  <sheetViews>
    <sheetView workbookViewId="0">
      <selection activeCell="O38" sqref="O38"/>
    </sheetView>
  </sheetViews>
  <sheetFormatPr defaultColWidth="9" defaultRowHeight="14.25" x14ac:dyDescent="0.2"/>
  <cols>
    <col min="1" max="1" width="9" style="1"/>
    <col min="2" max="2" width="46.7109375" style="1" bestFit="1" customWidth="1"/>
    <col min="3" max="3" width="22.140625" style="1" customWidth="1"/>
    <col min="4" max="5" width="11.42578125" style="1" customWidth="1"/>
    <col min="6" max="6" width="15.42578125" style="1" customWidth="1"/>
    <col min="7" max="7" width="12.42578125" style="1" customWidth="1"/>
    <col min="8" max="10" width="11.28515625" style="1" bestFit="1" customWidth="1"/>
    <col min="11" max="13" width="9" style="1"/>
    <col min="14" max="14" width="25.7109375" style="1" customWidth="1"/>
    <col min="15" max="16" width="10.28515625" style="1" customWidth="1"/>
    <col min="17" max="18" width="9.5703125" style="1" customWidth="1"/>
    <col min="19" max="19" width="10.140625" style="1" customWidth="1"/>
    <col min="20" max="20" width="10.28515625" style="1" customWidth="1"/>
    <col min="21" max="16384" width="9" style="1"/>
  </cols>
  <sheetData>
    <row r="2" spans="1:22" ht="33.75" x14ac:dyDescent="0.5">
      <c r="A2" s="386" t="s">
        <v>340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3" spans="1:22" ht="25.5" x14ac:dyDescent="0.35">
      <c r="L3" s="117"/>
      <c r="M3" s="117"/>
      <c r="N3" s="389" t="s">
        <v>342</v>
      </c>
      <c r="O3" s="389"/>
      <c r="P3" s="389"/>
      <c r="Q3" s="389"/>
      <c r="R3" s="389"/>
      <c r="S3" s="389"/>
      <c r="T3" s="389"/>
      <c r="U3" s="117"/>
      <c r="V3" s="117"/>
    </row>
    <row r="4" spans="1:22" x14ac:dyDescent="0.2">
      <c r="D4" s="191"/>
      <c r="E4" s="191"/>
      <c r="F4" s="191"/>
      <c r="G4" s="191"/>
      <c r="H4" s="191"/>
      <c r="I4" s="191"/>
      <c r="L4" s="117"/>
      <c r="V4" s="117"/>
    </row>
    <row r="5" spans="1:22" ht="15" x14ac:dyDescent="0.25">
      <c r="B5" s="210" t="str">
        <f>'Параметры инвестиции'!A4</f>
        <v>Статьи инвестиций</v>
      </c>
      <c r="C5" s="211" t="str">
        <f>'Параметры инвестиции'!B4</f>
        <v>Сумма, руб.</v>
      </c>
      <c r="D5" s="211" t="str">
        <f>'Параметры инвестиции'!C4</f>
        <v>1 мес.</v>
      </c>
      <c r="E5" s="211" t="str">
        <f>'Параметры инвестиции'!D4</f>
        <v>2 мес.</v>
      </c>
      <c r="F5" s="211" t="str">
        <f>'Параметры инвестиции'!E4</f>
        <v>3 мес.</v>
      </c>
      <c r="G5" s="211" t="str">
        <f>'Параметры инвестиции'!F4</f>
        <v>4 мес.</v>
      </c>
      <c r="H5" s="211" t="str">
        <f>'Параметры инвестиции'!G4</f>
        <v>5 мес.</v>
      </c>
      <c r="I5" s="211" t="str">
        <f>'Параметры инвестиции'!H4</f>
        <v>6 мес.</v>
      </c>
      <c r="J5" s="212" t="str">
        <f>'Параметры инвестиции'!I4</f>
        <v>Итого:</v>
      </c>
      <c r="L5" s="117"/>
      <c r="N5" s="206" t="str">
        <f>B5</f>
        <v>Статьи инвестиций</v>
      </c>
      <c r="O5" s="207" t="str">
        <f>D5</f>
        <v>1 мес.</v>
      </c>
      <c r="P5" s="207" t="str">
        <f t="shared" ref="P5:T16" si="0">E5</f>
        <v>2 мес.</v>
      </c>
      <c r="Q5" s="207" t="str">
        <f t="shared" si="0"/>
        <v>3 мес.</v>
      </c>
      <c r="R5" s="207" t="str">
        <f t="shared" si="0"/>
        <v>4 мес.</v>
      </c>
      <c r="S5" s="207" t="str">
        <f t="shared" si="0"/>
        <v>5 мес.</v>
      </c>
      <c r="T5" s="208" t="str">
        <f t="shared" si="0"/>
        <v>6 мес.</v>
      </c>
      <c r="V5" s="117"/>
    </row>
    <row r="6" spans="1:22" ht="15" x14ac:dyDescent="0.25">
      <c r="B6" s="213" t="str">
        <f>'Параметры инвестиции'!A5</f>
        <v>Депозит по аренде цеха на 6 месяцев</v>
      </c>
      <c r="C6" s="214">
        <f>'Параметры инвестиции'!B5</f>
        <v>3156600</v>
      </c>
      <c r="D6" s="214">
        <f>'Параметры инвестиции'!C5</f>
        <v>1578300</v>
      </c>
      <c r="E6" s="214">
        <f>'Параметры инвестиции'!D5</f>
        <v>1578300</v>
      </c>
      <c r="F6" s="214">
        <f>'Параметры инвестиции'!E5</f>
        <v>0</v>
      </c>
      <c r="G6" s="214">
        <f>'Параметры инвестиции'!F5</f>
        <v>0</v>
      </c>
      <c r="H6" s="214">
        <f>'Параметры инвестиции'!G5</f>
        <v>0</v>
      </c>
      <c r="I6" s="214">
        <f>'Параметры инвестиции'!H5</f>
        <v>0</v>
      </c>
      <c r="J6" s="215">
        <f>'Параметры инвестиции'!I5</f>
        <v>3156600</v>
      </c>
      <c r="L6" s="117"/>
      <c r="N6" s="205" t="str">
        <f t="shared" ref="N6:N16" si="1">B6</f>
        <v>Депозит по аренде цеха на 6 месяцев</v>
      </c>
      <c r="O6" s="201">
        <f t="shared" ref="O6:O16" si="2">D6</f>
        <v>1578300</v>
      </c>
      <c r="P6" s="201">
        <f t="shared" si="0"/>
        <v>1578300</v>
      </c>
      <c r="Q6" s="201">
        <f t="shared" si="0"/>
        <v>0</v>
      </c>
      <c r="R6" s="201">
        <f t="shared" si="0"/>
        <v>0</v>
      </c>
      <c r="S6" s="201">
        <f t="shared" si="0"/>
        <v>0</v>
      </c>
      <c r="T6" s="202">
        <f t="shared" si="0"/>
        <v>0</v>
      </c>
      <c r="V6" s="117"/>
    </row>
    <row r="7" spans="1:22" ht="15" x14ac:dyDescent="0.25">
      <c r="B7" s="213" t="str">
        <f>'Параметры инвестиции'!A6</f>
        <v>Депозит по аренде офиса на 3 месяца</v>
      </c>
      <c r="C7" s="214">
        <f>'Параметры инвестиции'!B6</f>
        <v>241857</v>
      </c>
      <c r="D7" s="214">
        <f>'Параметры инвестиции'!C6</f>
        <v>120928.5</v>
      </c>
      <c r="E7" s="214">
        <f>'Параметры инвестиции'!D6</f>
        <v>120928.5</v>
      </c>
      <c r="F7" s="214">
        <f>'Параметры инвестиции'!E6</f>
        <v>0</v>
      </c>
      <c r="G7" s="214">
        <f>'Параметры инвестиции'!F6</f>
        <v>0</v>
      </c>
      <c r="H7" s="214">
        <f>'Параметры инвестиции'!G6</f>
        <v>0</v>
      </c>
      <c r="I7" s="214">
        <f>'Параметры инвестиции'!H6</f>
        <v>0</v>
      </c>
      <c r="J7" s="215">
        <f>'Параметры инвестиции'!I6</f>
        <v>241857</v>
      </c>
      <c r="L7" s="117"/>
      <c r="N7" s="205" t="str">
        <f t="shared" si="1"/>
        <v>Депозит по аренде офиса на 3 месяца</v>
      </c>
      <c r="O7" s="201">
        <f t="shared" si="2"/>
        <v>120928.5</v>
      </c>
      <c r="P7" s="201">
        <f t="shared" si="0"/>
        <v>120928.5</v>
      </c>
      <c r="Q7" s="201">
        <f t="shared" si="0"/>
        <v>0</v>
      </c>
      <c r="R7" s="201">
        <f t="shared" si="0"/>
        <v>0</v>
      </c>
      <c r="S7" s="201">
        <f t="shared" si="0"/>
        <v>0</v>
      </c>
      <c r="T7" s="202">
        <f t="shared" si="0"/>
        <v>0</v>
      </c>
      <c r="V7" s="117"/>
    </row>
    <row r="8" spans="1:22" ht="15" x14ac:dyDescent="0.25">
      <c r="B8" s="213" t="str">
        <f>'Параметры инвестиции'!A7</f>
        <v>Расчет инвестиций в цех (оборудование, инструмент, мебель)</v>
      </c>
      <c r="C8" s="214">
        <f>'Параметры инвестиции'!B7</f>
        <v>14954525</v>
      </c>
      <c r="D8" s="214">
        <f>'Параметры инвестиции'!C7</f>
        <v>0</v>
      </c>
      <c r="E8" s="214">
        <f>'Параметры инвестиции'!D7</f>
        <v>7477262.5</v>
      </c>
      <c r="F8" s="214">
        <f>'Параметры инвестиции'!E7</f>
        <v>7477262.5</v>
      </c>
      <c r="G8" s="214">
        <f>'Параметры инвестиции'!F7</f>
        <v>0</v>
      </c>
      <c r="H8" s="214">
        <f>'Параметры инвестиции'!G7</f>
        <v>0</v>
      </c>
      <c r="I8" s="214">
        <f>'Параметры инвестиции'!H7</f>
        <v>0</v>
      </c>
      <c r="J8" s="215">
        <f>'Параметры инвестиции'!I7</f>
        <v>14954525</v>
      </c>
      <c r="L8" s="117"/>
      <c r="N8" s="205" t="str">
        <f t="shared" si="1"/>
        <v>Расчет инвестиций в цех (оборудование, инструмент, мебель)</v>
      </c>
      <c r="O8" s="201">
        <f t="shared" si="2"/>
        <v>0</v>
      </c>
      <c r="P8" s="201">
        <f t="shared" si="0"/>
        <v>7477262.5</v>
      </c>
      <c r="Q8" s="201">
        <f t="shared" si="0"/>
        <v>7477262.5</v>
      </c>
      <c r="R8" s="201">
        <f t="shared" si="0"/>
        <v>0</v>
      </c>
      <c r="S8" s="201">
        <f t="shared" si="0"/>
        <v>0</v>
      </c>
      <c r="T8" s="202">
        <f t="shared" si="0"/>
        <v>0</v>
      </c>
      <c r="V8" s="117"/>
    </row>
    <row r="9" spans="1:22" ht="15" x14ac:dyDescent="0.25">
      <c r="B9" s="213" t="str">
        <f>'Параметры инвестиции'!A8</f>
        <v>Покупка автотранспортных средств</v>
      </c>
      <c r="C9" s="214">
        <f>'Параметры инвестиции'!B8</f>
        <v>13500000</v>
      </c>
      <c r="D9" s="214">
        <f>'Параметры инвестиции'!C8</f>
        <v>0</v>
      </c>
      <c r="E9" s="214">
        <f>'Параметры инвестиции'!D8</f>
        <v>0</v>
      </c>
      <c r="F9" s="214">
        <f>'Параметры инвестиции'!E8</f>
        <v>6750000</v>
      </c>
      <c r="G9" s="214">
        <f>'Параметры инвестиции'!F8</f>
        <v>6750000</v>
      </c>
      <c r="H9" s="214">
        <f>'Параметры инвестиции'!G8</f>
        <v>0</v>
      </c>
      <c r="I9" s="214">
        <f>'Параметры инвестиции'!H8</f>
        <v>0</v>
      </c>
      <c r="J9" s="215">
        <f>'Параметры инвестиции'!I8</f>
        <v>13500000</v>
      </c>
      <c r="L9" s="117"/>
      <c r="N9" s="205" t="str">
        <f t="shared" si="1"/>
        <v>Покупка автотранспортных средств</v>
      </c>
      <c r="O9" s="201">
        <f t="shared" si="2"/>
        <v>0</v>
      </c>
      <c r="P9" s="201">
        <f t="shared" si="0"/>
        <v>0</v>
      </c>
      <c r="Q9" s="201">
        <f t="shared" si="0"/>
        <v>6750000</v>
      </c>
      <c r="R9" s="201">
        <f t="shared" si="0"/>
        <v>6750000</v>
      </c>
      <c r="S9" s="201">
        <f t="shared" si="0"/>
        <v>0</v>
      </c>
      <c r="T9" s="202">
        <f t="shared" si="0"/>
        <v>0</v>
      </c>
      <c r="V9" s="117"/>
    </row>
    <row r="10" spans="1:22" ht="15" x14ac:dyDescent="0.25">
      <c r="B10" s="213" t="str">
        <f>'Параметры инвестиции'!A9</f>
        <v>Расчет инвестиций в офис (мебель и оргтехника)</v>
      </c>
      <c r="C10" s="214">
        <f>'Параметры инвестиции'!B9</f>
        <v>447266</v>
      </c>
      <c r="D10" s="214">
        <f>'Параметры инвестиции'!C9</f>
        <v>0</v>
      </c>
      <c r="E10" s="214">
        <f>'Параметры инвестиции'!D9</f>
        <v>223633</v>
      </c>
      <c r="F10" s="214">
        <f>'Параметры инвестиции'!E9</f>
        <v>223633</v>
      </c>
      <c r="G10" s="214">
        <f>'Параметры инвестиции'!F9</f>
        <v>0</v>
      </c>
      <c r="H10" s="214">
        <f>'Параметры инвестиции'!G9</f>
        <v>0</v>
      </c>
      <c r="I10" s="214">
        <f>'Параметры инвестиции'!H9</f>
        <v>0</v>
      </c>
      <c r="J10" s="215">
        <f>'Параметры инвестиции'!I9</f>
        <v>447266</v>
      </c>
      <c r="L10" s="117"/>
      <c r="N10" s="205" t="str">
        <f t="shared" si="1"/>
        <v>Расчет инвестиций в офис (мебель и оргтехника)</v>
      </c>
      <c r="O10" s="201">
        <f t="shared" si="2"/>
        <v>0</v>
      </c>
      <c r="P10" s="201">
        <f t="shared" si="0"/>
        <v>223633</v>
      </c>
      <c r="Q10" s="201">
        <f t="shared" si="0"/>
        <v>223633</v>
      </c>
      <c r="R10" s="201">
        <f t="shared" si="0"/>
        <v>0</v>
      </c>
      <c r="S10" s="201">
        <f t="shared" si="0"/>
        <v>0</v>
      </c>
      <c r="T10" s="202">
        <f t="shared" si="0"/>
        <v>0</v>
      </c>
      <c r="V10" s="117"/>
    </row>
    <row r="11" spans="1:22" ht="15" x14ac:dyDescent="0.25">
      <c r="B11" s="213" t="str">
        <f>'Параметры инвестиции'!A10</f>
        <v>Подготовительные работы</v>
      </c>
      <c r="C11" s="214">
        <f>'Параметры инвестиции'!B10</f>
        <v>300000</v>
      </c>
      <c r="D11" s="214">
        <f>'Параметры инвестиции'!C10</f>
        <v>0</v>
      </c>
      <c r="E11" s="214">
        <f>'Параметры инвестиции'!D10</f>
        <v>0</v>
      </c>
      <c r="F11" s="214">
        <f>'Параметры инвестиции'!E10</f>
        <v>150000</v>
      </c>
      <c r="G11" s="214">
        <f>'Параметры инвестиции'!F10</f>
        <v>150000</v>
      </c>
      <c r="H11" s="214">
        <f>'Параметры инвестиции'!G10</f>
        <v>0</v>
      </c>
      <c r="I11" s="214">
        <f>'Параметры инвестиции'!H10</f>
        <v>0</v>
      </c>
      <c r="J11" s="215">
        <f>'Параметры инвестиции'!I10</f>
        <v>300000</v>
      </c>
      <c r="L11" s="117"/>
      <c r="N11" s="205" t="str">
        <f t="shared" si="1"/>
        <v>Подготовительные работы</v>
      </c>
      <c r="O11" s="201">
        <f t="shared" si="2"/>
        <v>0</v>
      </c>
      <c r="P11" s="201">
        <f t="shared" si="0"/>
        <v>0</v>
      </c>
      <c r="Q11" s="201">
        <f t="shared" si="0"/>
        <v>150000</v>
      </c>
      <c r="R11" s="201">
        <f t="shared" si="0"/>
        <v>150000</v>
      </c>
      <c r="S11" s="201">
        <f t="shared" si="0"/>
        <v>0</v>
      </c>
      <c r="T11" s="202">
        <f t="shared" si="0"/>
        <v>0</v>
      </c>
      <c r="V11" s="117"/>
    </row>
    <row r="12" spans="1:22" ht="15" x14ac:dyDescent="0.25">
      <c r="B12" s="213" t="str">
        <f>'Параметры инвестиции'!A11</f>
        <v>Маркетинг и реклама</v>
      </c>
      <c r="C12" s="214">
        <f>'Параметры инвестиции'!B11</f>
        <v>300000</v>
      </c>
      <c r="D12" s="214">
        <f>'Параметры инвестиции'!C11</f>
        <v>0</v>
      </c>
      <c r="E12" s="214">
        <f>'Параметры инвестиции'!D11</f>
        <v>150000</v>
      </c>
      <c r="F12" s="214">
        <f>'Параметры инвестиции'!E11</f>
        <v>150000</v>
      </c>
      <c r="G12" s="214">
        <f>'Параметры инвестиции'!F11</f>
        <v>0</v>
      </c>
      <c r="H12" s="214">
        <f>'Параметры инвестиции'!G11</f>
        <v>0</v>
      </c>
      <c r="I12" s="214">
        <f>'Параметры инвестиции'!H11</f>
        <v>0</v>
      </c>
      <c r="J12" s="215">
        <f>'Параметры инвестиции'!I11</f>
        <v>300000</v>
      </c>
      <c r="L12" s="117"/>
      <c r="N12" s="205" t="str">
        <f t="shared" si="1"/>
        <v>Маркетинг и реклама</v>
      </c>
      <c r="O12" s="201">
        <f t="shared" si="2"/>
        <v>0</v>
      </c>
      <c r="P12" s="201">
        <f t="shared" si="0"/>
        <v>150000</v>
      </c>
      <c r="Q12" s="201">
        <f t="shared" si="0"/>
        <v>150000</v>
      </c>
      <c r="R12" s="201">
        <f t="shared" si="0"/>
        <v>0</v>
      </c>
      <c r="S12" s="201">
        <f t="shared" si="0"/>
        <v>0</v>
      </c>
      <c r="T12" s="202">
        <f t="shared" si="0"/>
        <v>0</v>
      </c>
      <c r="V12" s="117"/>
    </row>
    <row r="13" spans="1:22" ht="15" x14ac:dyDescent="0.25">
      <c r="B13" s="213" t="str">
        <f>'Параметры инвестиции'!A12</f>
        <v>Прочие, 10% от инвестиций выше</v>
      </c>
      <c r="C13" s="214">
        <f>'Параметры инвестиции'!B12</f>
        <v>3290024.8000000003</v>
      </c>
      <c r="D13" s="214">
        <f>'Параметры инвестиции'!C12</f>
        <v>0</v>
      </c>
      <c r="E13" s="214">
        <f>'Параметры инвестиции'!D12</f>
        <v>1645012.4000000001</v>
      </c>
      <c r="F13" s="214">
        <f>'Параметры инвестиции'!E12</f>
        <v>1645012.4000000001</v>
      </c>
      <c r="G13" s="214">
        <f>'Параметры инвестиции'!F12</f>
        <v>0</v>
      </c>
      <c r="H13" s="214">
        <f>'Параметры инвестиции'!G12</f>
        <v>0</v>
      </c>
      <c r="I13" s="214">
        <f>'Параметры инвестиции'!H12</f>
        <v>0</v>
      </c>
      <c r="J13" s="215">
        <f>'Параметры инвестиции'!I12</f>
        <v>3290024.8000000003</v>
      </c>
      <c r="L13" s="117"/>
      <c r="N13" s="205" t="str">
        <f t="shared" si="1"/>
        <v>Прочие, 10% от инвестиций выше</v>
      </c>
      <c r="O13" s="201">
        <f t="shared" si="2"/>
        <v>0</v>
      </c>
      <c r="P13" s="201">
        <f t="shared" si="0"/>
        <v>1645012.4000000001</v>
      </c>
      <c r="Q13" s="201">
        <f t="shared" si="0"/>
        <v>1645012.4000000001</v>
      </c>
      <c r="R13" s="201">
        <f t="shared" si="0"/>
        <v>0</v>
      </c>
      <c r="S13" s="201">
        <f t="shared" si="0"/>
        <v>0</v>
      </c>
      <c r="T13" s="202">
        <f t="shared" si="0"/>
        <v>0</v>
      </c>
      <c r="V13" s="117"/>
    </row>
    <row r="14" spans="1:22" ht="15" x14ac:dyDescent="0.25">
      <c r="B14" s="213" t="str">
        <f>'Параметры инвестиции'!A13</f>
        <v>Оборотный капитал</v>
      </c>
      <c r="C14" s="214">
        <f>'Параметры инвестиции'!B13</f>
        <v>41683189.558424994</v>
      </c>
      <c r="D14" s="214">
        <f>'Параметры инвестиции'!C13</f>
        <v>0</v>
      </c>
      <c r="E14" s="214">
        <f>'Параметры инвестиции'!D13</f>
        <v>0</v>
      </c>
      <c r="F14" s="214">
        <f>'Параметры инвестиции'!E13</f>
        <v>10420797.389606249</v>
      </c>
      <c r="G14" s="214">
        <f>'Параметры инвестиции'!F13</f>
        <v>10420797.389606249</v>
      </c>
      <c r="H14" s="214">
        <f>'Параметры инвестиции'!G13</f>
        <v>10420797.389606249</v>
      </c>
      <c r="I14" s="214">
        <f>'Параметры инвестиции'!H13</f>
        <v>10420797.389606249</v>
      </c>
      <c r="J14" s="215">
        <f>'Параметры инвестиции'!I13</f>
        <v>41683189.558424994</v>
      </c>
      <c r="L14" s="117"/>
      <c r="N14" s="205" t="str">
        <f t="shared" si="1"/>
        <v>Оборотный капитал</v>
      </c>
      <c r="O14" s="201">
        <f t="shared" si="2"/>
        <v>0</v>
      </c>
      <c r="P14" s="201">
        <f t="shared" si="0"/>
        <v>0</v>
      </c>
      <c r="Q14" s="201">
        <f t="shared" si="0"/>
        <v>10420797.389606249</v>
      </c>
      <c r="R14" s="201">
        <f t="shared" si="0"/>
        <v>10420797.389606249</v>
      </c>
      <c r="S14" s="201">
        <f t="shared" si="0"/>
        <v>10420797.389606249</v>
      </c>
      <c r="T14" s="202">
        <f t="shared" si="0"/>
        <v>10420797.389606249</v>
      </c>
      <c r="V14" s="117"/>
    </row>
    <row r="15" spans="1:22" ht="15" x14ac:dyDescent="0.25">
      <c r="B15" s="213" t="str">
        <f>'Параметры инвестиции'!A14</f>
        <v>Запас денег на покрытие кассовых разрывов</v>
      </c>
      <c r="C15" s="214">
        <f>'Параметры инвестиции'!B14</f>
        <v>5143647.2782630194</v>
      </c>
      <c r="D15" s="214">
        <f>'Параметры инвестиции'!C14</f>
        <v>5143647.2782630194</v>
      </c>
      <c r="E15" s="214">
        <f>'Параметры инвестиции'!D14</f>
        <v>0</v>
      </c>
      <c r="F15" s="214">
        <f>'Параметры инвестиции'!E14</f>
        <v>0</v>
      </c>
      <c r="G15" s="214">
        <f>'Параметры инвестиции'!F14</f>
        <v>0</v>
      </c>
      <c r="H15" s="214">
        <f>'Параметры инвестиции'!G14</f>
        <v>0</v>
      </c>
      <c r="I15" s="214">
        <f>'Параметры инвестиции'!H14</f>
        <v>0</v>
      </c>
      <c r="J15" s="215">
        <f>'Параметры инвестиции'!I14</f>
        <v>5143647.2782630194</v>
      </c>
      <c r="L15" s="117"/>
      <c r="N15" s="205" t="str">
        <f t="shared" si="1"/>
        <v>Запас денег на покрытие кассовых разрывов</v>
      </c>
      <c r="O15" s="201">
        <f t="shared" si="2"/>
        <v>5143647.2782630194</v>
      </c>
      <c r="P15" s="201">
        <f t="shared" si="0"/>
        <v>0</v>
      </c>
      <c r="Q15" s="201">
        <f t="shared" si="0"/>
        <v>0</v>
      </c>
      <c r="R15" s="201">
        <f t="shared" si="0"/>
        <v>0</v>
      </c>
      <c r="S15" s="201">
        <f t="shared" si="0"/>
        <v>0</v>
      </c>
      <c r="T15" s="202">
        <f t="shared" si="0"/>
        <v>0</v>
      </c>
      <c r="V15" s="117"/>
    </row>
    <row r="16" spans="1:22" ht="15" x14ac:dyDescent="0.25">
      <c r="B16" s="213" t="str">
        <f>'Параметры инвестиции'!A15</f>
        <v>Инвестиции</v>
      </c>
      <c r="C16" s="216">
        <f>'Параметры инвестиции'!B15</f>
        <v>83017109.636688009</v>
      </c>
      <c r="D16" s="216">
        <f>'Параметры инвестиции'!C15</f>
        <v>6842875.7782630194</v>
      </c>
      <c r="E16" s="216">
        <f>'Параметры инвестиции'!D15</f>
        <v>11195136.4</v>
      </c>
      <c r="F16" s="216">
        <f>'Параметры инвестиции'!E15</f>
        <v>26816705.289606251</v>
      </c>
      <c r="G16" s="216">
        <f>'Параметры инвестиции'!F15</f>
        <v>17320797.389606249</v>
      </c>
      <c r="H16" s="216">
        <f>'Параметры инвестиции'!G15</f>
        <v>10420797.389606249</v>
      </c>
      <c r="I16" s="216">
        <f>'Параметры инвестиции'!H15</f>
        <v>10420797.389606249</v>
      </c>
      <c r="J16" s="215">
        <f>'Параметры инвестиции'!I15</f>
        <v>83017109.636688009</v>
      </c>
      <c r="L16" s="117"/>
      <c r="N16" s="209" t="str">
        <f t="shared" si="1"/>
        <v>Инвестиции</v>
      </c>
      <c r="O16" s="203">
        <f t="shared" si="2"/>
        <v>6842875.7782630194</v>
      </c>
      <c r="P16" s="203">
        <f t="shared" si="0"/>
        <v>11195136.4</v>
      </c>
      <c r="Q16" s="203">
        <f t="shared" si="0"/>
        <v>26816705.289606251</v>
      </c>
      <c r="R16" s="203">
        <f t="shared" si="0"/>
        <v>17320797.389606249</v>
      </c>
      <c r="S16" s="203">
        <f t="shared" si="0"/>
        <v>10420797.389606249</v>
      </c>
      <c r="T16" s="204">
        <f t="shared" si="0"/>
        <v>10420797.389606249</v>
      </c>
      <c r="V16" s="117"/>
    </row>
    <row r="17" spans="1:22" x14ac:dyDescent="0.2">
      <c r="L17" s="117"/>
      <c r="V17" s="117"/>
    </row>
    <row r="18" spans="1:22" ht="23.25" x14ac:dyDescent="0.35">
      <c r="A18" s="390" t="s">
        <v>341</v>
      </c>
      <c r="B18" s="390"/>
      <c r="C18" s="390"/>
      <c r="D18" s="390"/>
      <c r="E18" s="117"/>
      <c r="F18" s="117"/>
      <c r="G18" s="117"/>
      <c r="H18" s="117"/>
      <c r="I18" s="117"/>
      <c r="J18" s="117"/>
      <c r="K18" s="117"/>
      <c r="L18" s="117"/>
      <c r="V18" s="117"/>
    </row>
    <row r="19" spans="1:22" x14ac:dyDescent="0.2">
      <c r="L19" s="117"/>
      <c r="V19" s="117"/>
    </row>
    <row r="20" spans="1:22" ht="15" x14ac:dyDescent="0.25">
      <c r="B20" s="192" t="str">
        <f>B5</f>
        <v>Статьи инвестиций</v>
      </c>
      <c r="C20" s="193" t="str">
        <f>C5</f>
        <v>Сумма, руб.</v>
      </c>
      <c r="L20" s="117"/>
      <c r="V20" s="117"/>
    </row>
    <row r="21" spans="1:22" x14ac:dyDescent="0.2">
      <c r="B21" s="164" t="str">
        <f>B6</f>
        <v>Депозит по аренде цеха на 6 месяцев</v>
      </c>
      <c r="C21" s="196">
        <f>C6</f>
        <v>3156600</v>
      </c>
      <c r="L21" s="117"/>
      <c r="V21" s="117"/>
    </row>
    <row r="22" spans="1:22" x14ac:dyDescent="0.2">
      <c r="B22" s="164" t="str">
        <f t="shared" ref="B22:C31" si="3">B7</f>
        <v>Депозит по аренде офиса на 3 месяца</v>
      </c>
      <c r="C22" s="196">
        <f t="shared" si="3"/>
        <v>241857</v>
      </c>
      <c r="L22" s="117"/>
      <c r="V22" s="117"/>
    </row>
    <row r="23" spans="1:22" x14ac:dyDescent="0.2">
      <c r="B23" s="164" t="str">
        <f t="shared" si="3"/>
        <v>Расчет инвестиций в цех (оборудование, инструмент, мебель)</v>
      </c>
      <c r="C23" s="196">
        <f t="shared" si="3"/>
        <v>14954525</v>
      </c>
      <c r="L23" s="117"/>
      <c r="V23" s="117"/>
    </row>
    <row r="24" spans="1:22" x14ac:dyDescent="0.2">
      <c r="B24" s="164" t="str">
        <f t="shared" si="3"/>
        <v>Покупка автотранспортных средств</v>
      </c>
      <c r="C24" s="196">
        <f t="shared" si="3"/>
        <v>13500000</v>
      </c>
      <c r="L24" s="117"/>
      <c r="V24" s="117"/>
    </row>
    <row r="25" spans="1:22" x14ac:dyDescent="0.2">
      <c r="B25" s="164" t="str">
        <f t="shared" si="3"/>
        <v>Расчет инвестиций в офис (мебель и оргтехника)</v>
      </c>
      <c r="C25" s="196">
        <f t="shared" si="3"/>
        <v>447266</v>
      </c>
      <c r="L25" s="117"/>
      <c r="V25" s="117"/>
    </row>
    <row r="26" spans="1:22" x14ac:dyDescent="0.2">
      <c r="B26" s="164" t="str">
        <f t="shared" si="3"/>
        <v>Подготовительные работы</v>
      </c>
      <c r="C26" s="196">
        <f t="shared" si="3"/>
        <v>300000</v>
      </c>
      <c r="L26" s="117"/>
      <c r="V26" s="117"/>
    </row>
    <row r="27" spans="1:22" x14ac:dyDescent="0.2">
      <c r="B27" s="164" t="str">
        <f t="shared" si="3"/>
        <v>Маркетинг и реклама</v>
      </c>
      <c r="C27" s="196">
        <f t="shared" si="3"/>
        <v>300000</v>
      </c>
      <c r="L27" s="117"/>
      <c r="V27" s="117"/>
    </row>
    <row r="28" spans="1:22" x14ac:dyDescent="0.2">
      <c r="B28" s="164" t="str">
        <f t="shared" si="3"/>
        <v>Прочие, 10% от инвестиций выше</v>
      </c>
      <c r="C28" s="196">
        <f t="shared" si="3"/>
        <v>3290024.8000000003</v>
      </c>
      <c r="L28" s="117"/>
      <c r="V28" s="117"/>
    </row>
    <row r="29" spans="1:22" x14ac:dyDescent="0.2">
      <c r="B29" s="164" t="str">
        <f t="shared" si="3"/>
        <v>Оборотный капитал</v>
      </c>
      <c r="C29" s="196">
        <f t="shared" si="3"/>
        <v>41683189.558424994</v>
      </c>
      <c r="L29" s="117"/>
      <c r="V29" s="117"/>
    </row>
    <row r="30" spans="1:22" x14ac:dyDescent="0.2">
      <c r="B30" s="164" t="str">
        <f t="shared" si="3"/>
        <v>Запас денег на покрытие кассовых разрывов</v>
      </c>
      <c r="C30" s="196">
        <f t="shared" si="3"/>
        <v>5143647.2782630194</v>
      </c>
      <c r="L30" s="117"/>
      <c r="V30" s="117"/>
    </row>
    <row r="31" spans="1:22" ht="15" x14ac:dyDescent="0.25">
      <c r="B31" s="195" t="str">
        <f t="shared" si="3"/>
        <v>Инвестиции</v>
      </c>
      <c r="C31" s="194">
        <f t="shared" si="3"/>
        <v>83017109.636688009</v>
      </c>
      <c r="L31" s="117"/>
      <c r="V31" s="117"/>
    </row>
    <row r="32" spans="1:22" x14ac:dyDescent="0.2"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</row>
    <row r="33" spans="12:17" x14ac:dyDescent="0.2">
      <c r="L33" s="117"/>
    </row>
    <row r="34" spans="12:17" x14ac:dyDescent="0.2">
      <c r="L34" s="117"/>
    </row>
    <row r="35" spans="12:17" x14ac:dyDescent="0.2">
      <c r="L35" s="117"/>
    </row>
    <row r="36" spans="12:17" x14ac:dyDescent="0.2">
      <c r="L36" s="117"/>
    </row>
    <row r="37" spans="12:17" x14ac:dyDescent="0.2">
      <c r="L37" s="117"/>
    </row>
    <row r="38" spans="12:17" x14ac:dyDescent="0.2">
      <c r="L38" s="117"/>
    </row>
    <row r="39" spans="12:17" x14ac:dyDescent="0.2">
      <c r="L39" s="117"/>
    </row>
    <row r="40" spans="12:17" x14ac:dyDescent="0.2">
      <c r="L40" s="117"/>
    </row>
    <row r="41" spans="12:17" x14ac:dyDescent="0.2">
      <c r="L41" s="117"/>
    </row>
    <row r="42" spans="12:17" x14ac:dyDescent="0.2">
      <c r="L42" s="117"/>
    </row>
    <row r="43" spans="12:17" ht="15.75" thickBot="1" x14ac:dyDescent="0.25">
      <c r="L43" s="117"/>
      <c r="N43" s="300"/>
      <c r="O43" s="300"/>
      <c r="P43" s="300"/>
      <c r="Q43" s="300"/>
    </row>
    <row r="44" spans="12:17" ht="15.75" thickBot="1" x14ac:dyDescent="0.25">
      <c r="L44" s="117"/>
      <c r="N44" s="299"/>
      <c r="O44" s="299"/>
      <c r="P44" s="299"/>
      <c r="Q44" s="299"/>
    </row>
    <row r="45" spans="12:17" ht="15.75" thickBot="1" x14ac:dyDescent="0.25">
      <c r="L45" s="117"/>
      <c r="N45" s="300"/>
      <c r="O45" s="300"/>
      <c r="P45" s="300"/>
      <c r="Q45" s="300"/>
    </row>
    <row r="46" spans="12:17" ht="15.75" thickBot="1" x14ac:dyDescent="0.25">
      <c r="L46" s="117"/>
      <c r="N46" s="299"/>
      <c r="O46" s="299"/>
      <c r="P46" s="299"/>
      <c r="Q46" s="299"/>
    </row>
    <row r="47" spans="12:17" ht="15.75" thickBot="1" x14ac:dyDescent="0.25">
      <c r="L47" s="117"/>
      <c r="N47" s="300"/>
      <c r="O47" s="300"/>
      <c r="P47" s="300"/>
      <c r="Q47" s="300"/>
    </row>
    <row r="48" spans="12:17" ht="15" x14ac:dyDescent="0.2">
      <c r="L48" s="117"/>
      <c r="N48" s="301"/>
      <c r="O48" s="301"/>
      <c r="P48" s="301"/>
      <c r="Q48" s="301"/>
    </row>
    <row r="49" spans="1:12" x14ac:dyDescent="0.2">
      <c r="L49" s="117"/>
    </row>
    <row r="50" spans="1:12" x14ac:dyDescent="0.2">
      <c r="L50" s="117"/>
    </row>
    <row r="51" spans="1:12" x14ac:dyDescent="0.2">
      <c r="L51" s="117"/>
    </row>
    <row r="52" spans="1:12" x14ac:dyDescent="0.2">
      <c r="L52" s="117"/>
    </row>
    <row r="53" spans="1:12" x14ac:dyDescent="0.2">
      <c r="L53" s="117"/>
    </row>
    <row r="54" spans="1:12" x14ac:dyDescent="0.2">
      <c r="L54" s="117"/>
    </row>
    <row r="55" spans="1:12" x14ac:dyDescent="0.2">
      <c r="L55" s="117"/>
    </row>
    <row r="56" spans="1:12" x14ac:dyDescent="0.2">
      <c r="L56" s="117"/>
    </row>
    <row r="57" spans="1:12" x14ac:dyDescent="0.2">
      <c r="L57" s="117"/>
    </row>
    <row r="58" spans="1:12" x14ac:dyDescent="0.2">
      <c r="L58" s="117"/>
    </row>
    <row r="59" spans="1:12" x14ac:dyDescent="0.2">
      <c r="L59" s="117"/>
    </row>
    <row r="60" spans="1:12" x14ac:dyDescent="0.2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</row>
  </sheetData>
  <mergeCells count="3">
    <mergeCell ref="N3:T3"/>
    <mergeCell ref="A2:K2"/>
    <mergeCell ref="A18:D1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2:O23"/>
  <sheetViews>
    <sheetView workbookViewId="0">
      <selection activeCell="B7" sqref="B7:C10"/>
    </sheetView>
  </sheetViews>
  <sheetFormatPr defaultColWidth="9.28515625" defaultRowHeight="14.25" x14ac:dyDescent="0.2"/>
  <cols>
    <col min="1" max="1" width="9.28515625" style="1"/>
    <col min="2" max="2" width="58.28515625" style="1" bestFit="1" customWidth="1"/>
    <col min="3" max="3" width="19.42578125" style="1" customWidth="1"/>
    <col min="4" max="4" width="12.42578125" style="1" customWidth="1"/>
    <col min="5" max="8" width="9.28515625" style="1"/>
    <col min="9" max="9" width="42.5703125" style="1" customWidth="1"/>
    <col min="10" max="10" width="21.5703125" style="1" customWidth="1"/>
    <col min="11" max="16384" width="9.28515625" style="1"/>
  </cols>
  <sheetData>
    <row r="2" spans="1:15" ht="33.75" x14ac:dyDescent="0.5">
      <c r="A2" s="386" t="s">
        <v>344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4" spans="1:15" ht="25.5" x14ac:dyDescent="0.35">
      <c r="A4" s="389" t="s">
        <v>341</v>
      </c>
      <c r="B4" s="389"/>
      <c r="C4" s="389"/>
      <c r="I4" s="389" t="s">
        <v>342</v>
      </c>
      <c r="J4" s="389"/>
      <c r="K4" s="389"/>
      <c r="L4" s="389"/>
      <c r="M4" s="389"/>
      <c r="N4" s="389"/>
      <c r="O4" s="389"/>
    </row>
    <row r="6" spans="1:15" x14ac:dyDescent="0.2">
      <c r="B6" s="1" t="str">
        <f>'Параметры финансирование'!A4</f>
        <v>Инвестиции</v>
      </c>
    </row>
    <row r="7" spans="1:15" ht="15" x14ac:dyDescent="0.25">
      <c r="B7" s="199" t="s">
        <v>345</v>
      </c>
      <c r="C7" s="217" t="s">
        <v>79</v>
      </c>
      <c r="I7" s="1" t="s">
        <v>118</v>
      </c>
    </row>
    <row r="8" spans="1:15" ht="15" x14ac:dyDescent="0.25">
      <c r="B8" s="184" t="str">
        <f>'Параметры финансирование'!A5</f>
        <v>Инвестиции в основные средства</v>
      </c>
      <c r="C8" s="187">
        <f>'Параметры финансирование'!B5</f>
        <v>77873462.358424991</v>
      </c>
      <c r="I8" s="199" t="s">
        <v>345</v>
      </c>
      <c r="J8" s="200" t="s">
        <v>79</v>
      </c>
    </row>
    <row r="9" spans="1:15" x14ac:dyDescent="0.2">
      <c r="B9" s="184" t="str">
        <f>'Параметры финансирование'!A6</f>
        <v>Покрытие кассовых разрывов и уплата процентов</v>
      </c>
      <c r="C9" s="187">
        <f>'Параметры финансирование'!B6</f>
        <v>5143647.2782630194</v>
      </c>
      <c r="I9" s="184" t="str">
        <f>'Параметры финансирование'!A63</f>
        <v>Процентная ставка, % год</v>
      </c>
      <c r="J9" s="228">
        <f>'Параметры финансирование'!B63</f>
        <v>0.16</v>
      </c>
    </row>
    <row r="10" spans="1:15" ht="15" x14ac:dyDescent="0.25">
      <c r="B10" s="197" t="str">
        <f>'Параметры финансирование'!A7</f>
        <v>Итого</v>
      </c>
      <c r="C10" s="178">
        <f>'Параметры финансирование'!B7</f>
        <v>83017109.636688009</v>
      </c>
      <c r="I10" s="184" t="str">
        <f>'Параметры финансирование'!A64</f>
        <v>Срок кредита, лет</v>
      </c>
      <c r="J10" s="305">
        <f>'Параметры финансирование'!B64</f>
        <v>5</v>
      </c>
    </row>
    <row r="11" spans="1:15" x14ac:dyDescent="0.2">
      <c r="C11" s="68"/>
      <c r="I11" s="184" t="str">
        <f>'Параметры финансирование'!A65</f>
        <v>Отсрочка по телу кредита, лет</v>
      </c>
      <c r="J11" s="176">
        <f>'Параметры финансирование'!B65</f>
        <v>0</v>
      </c>
    </row>
    <row r="12" spans="1:15" x14ac:dyDescent="0.2">
      <c r="B12" s="1" t="str">
        <f>'Параметры финансирование'!A9</f>
        <v>Источники финансирования</v>
      </c>
      <c r="C12" s="68"/>
      <c r="I12" s="184" t="str">
        <f>'Параметры финансирование'!A66</f>
        <v>Отсрочка по процентам, лет</v>
      </c>
      <c r="J12" s="176">
        <f>'Параметры финансирование'!B66</f>
        <v>0</v>
      </c>
    </row>
    <row r="13" spans="1:15" ht="15" x14ac:dyDescent="0.25">
      <c r="B13" s="199" t="s">
        <v>345</v>
      </c>
      <c r="C13" s="217" t="s">
        <v>79</v>
      </c>
      <c r="I13" s="184" t="str">
        <f>'Параметры финансирование'!A70</f>
        <v>Сумма кредита</v>
      </c>
      <c r="J13" s="187">
        <f>'Параметры финансирование'!B70</f>
        <v>0</v>
      </c>
    </row>
    <row r="14" spans="1:15" x14ac:dyDescent="0.2">
      <c r="B14" s="184" t="str">
        <f>'Параметры финансирование'!A10</f>
        <v>Собственные средства в основные активы</v>
      </c>
      <c r="C14" s="187">
        <f>'Параметры финансирование'!B10</f>
        <v>77873462.358424991</v>
      </c>
      <c r="I14" s="184" t="str">
        <f>'Параметры финансирование'!A71</f>
        <v>Процентная ставка, % в квартал</v>
      </c>
      <c r="J14" s="350">
        <f>'Параметры финансирование'!B71</f>
        <v>0.04</v>
      </c>
    </row>
    <row r="15" spans="1:15" x14ac:dyDescent="0.2">
      <c r="B15" s="184" t="str">
        <f>'Параметры финансирование'!A11</f>
        <v>Собственные средства на покрытие кассовых разрывов</v>
      </c>
      <c r="C15" s="187">
        <f>'Параметры финансирование'!B11</f>
        <v>5143647.2782630194</v>
      </c>
      <c r="I15" s="184" t="str">
        <f>'Параметры финансирование'!A72</f>
        <v>Период возврата тела кредита, лет</v>
      </c>
      <c r="J15" s="305">
        <f>'Параметры финансирование'!B72</f>
        <v>5</v>
      </c>
    </row>
    <row r="16" spans="1:15" x14ac:dyDescent="0.2">
      <c r="B16" s="184" t="str">
        <f>'Параметры финансирование'!A12</f>
        <v>Кредит</v>
      </c>
      <c r="C16" s="187">
        <f>'Параметры финансирование'!B12</f>
        <v>0</v>
      </c>
      <c r="I16" s="184" t="str">
        <f>'Параметры финансирование'!A73</f>
        <v>Ежеквартальный платеж (тело кредита)</v>
      </c>
      <c r="J16" s="187">
        <f>'Параметры финансирование'!B73</f>
        <v>0</v>
      </c>
    </row>
    <row r="17" spans="2:4" ht="15" x14ac:dyDescent="0.25">
      <c r="B17" s="197" t="str">
        <f>'Параметры финансирование'!A13</f>
        <v>Итого</v>
      </c>
      <c r="C17" s="178">
        <f>'Параметры финансирование'!B13</f>
        <v>83017109.636688009</v>
      </c>
    </row>
    <row r="18" spans="2:4" x14ac:dyDescent="0.2">
      <c r="C18" s="68"/>
    </row>
    <row r="19" spans="2:4" x14ac:dyDescent="0.2">
      <c r="B19" s="1" t="str">
        <f>'Параметры финансирование'!A15</f>
        <v>Структура финансирования основных активов</v>
      </c>
      <c r="C19" s="68"/>
    </row>
    <row r="20" spans="2:4" ht="15" x14ac:dyDescent="0.25">
      <c r="B20" s="218" t="s">
        <v>345</v>
      </c>
      <c r="C20" s="219" t="s">
        <v>79</v>
      </c>
      <c r="D20" s="220" t="s">
        <v>253</v>
      </c>
    </row>
    <row r="21" spans="2:4" x14ac:dyDescent="0.2">
      <c r="B21" s="221" t="str">
        <f>'Параметры финансирование'!A16</f>
        <v>Собственные средства</v>
      </c>
      <c r="C21" s="222">
        <f>'Параметры финансирование'!B16</f>
        <v>77873462.358424991</v>
      </c>
      <c r="D21" s="223">
        <f>'Параметры финансирование'!C16</f>
        <v>1</v>
      </c>
    </row>
    <row r="22" spans="2:4" x14ac:dyDescent="0.2">
      <c r="B22" s="224" t="str">
        <f>'Параметры финансирование'!A17</f>
        <v>Кредит</v>
      </c>
      <c r="C22" s="225">
        <f>'Параметры финансирование'!B17</f>
        <v>0</v>
      </c>
      <c r="D22" s="226">
        <f>'Параметры финансирование'!C17</f>
        <v>0</v>
      </c>
    </row>
    <row r="23" spans="2:4" ht="15" x14ac:dyDescent="0.25">
      <c r="B23" s="197" t="str">
        <f>'Параметры финансирование'!A18</f>
        <v>Итого</v>
      </c>
      <c r="C23" s="198">
        <f>'Параметры финансирование'!B18</f>
        <v>77873462.358424991</v>
      </c>
      <c r="D23" s="227">
        <f>'Параметры финансирование'!C18</f>
        <v>1</v>
      </c>
    </row>
  </sheetData>
  <mergeCells count="3">
    <mergeCell ref="A2:K2"/>
    <mergeCell ref="A4:C4"/>
    <mergeCell ref="I4:O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2:L19"/>
  <sheetViews>
    <sheetView topLeftCell="A19" workbookViewId="0">
      <selection activeCell="J4" sqref="J4:L19"/>
    </sheetView>
  </sheetViews>
  <sheetFormatPr defaultRowHeight="15" x14ac:dyDescent="0.25"/>
  <cols>
    <col min="4" max="4" width="38.42578125" bestFit="1" customWidth="1"/>
    <col min="5" max="5" width="13.85546875" bestFit="1" customWidth="1"/>
    <col min="8" max="8" width="9.140625" style="241"/>
    <col min="10" max="10" width="38.42578125" bestFit="1" customWidth="1"/>
    <col min="11" max="11" width="17.28515625" bestFit="1" customWidth="1"/>
    <col min="12" max="12" width="25.85546875" bestFit="1" customWidth="1"/>
  </cols>
  <sheetData>
    <row r="2" spans="1:12" ht="33.75" x14ac:dyDescent="0.5">
      <c r="A2" s="386" t="s">
        <v>332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4" spans="1:12" x14ac:dyDescent="0.25">
      <c r="D4" s="155" t="str">
        <f>'Параметры Расходы'!A62</f>
        <v>Наименование должности</v>
      </c>
      <c r="E4" s="155" t="str">
        <f>'Параметры Расходы'!B62</f>
        <v>Количество</v>
      </c>
      <c r="J4" s="155" t="str">
        <f>D4</f>
        <v>Наименование должности</v>
      </c>
      <c r="K4" s="155" t="str">
        <f>'Параметры Расходы'!C62</f>
        <v>Заработная плата</v>
      </c>
      <c r="L4" s="155" t="str">
        <f>'Параметры Расходы'!F62</f>
        <v>Заработная плата + Налоги</v>
      </c>
    </row>
    <row r="5" spans="1:12" x14ac:dyDescent="0.25">
      <c r="D5" s="156" t="str">
        <f>'Параметры Расходы'!A63</f>
        <v>Производственный персонал</v>
      </c>
      <c r="E5" s="173">
        <f>'Параметры Расходы'!B63</f>
        <v>32</v>
      </c>
      <c r="J5" s="156" t="str">
        <f>D5</f>
        <v>Производственный персонал</v>
      </c>
      <c r="K5" s="157">
        <f>'Параметры Расходы'!D63</f>
        <v>3402300</v>
      </c>
      <c r="L5" s="173">
        <f>'Параметры Расходы'!F63</f>
        <v>4457013</v>
      </c>
    </row>
    <row r="6" spans="1:12" x14ac:dyDescent="0.25">
      <c r="D6" s="156" t="str">
        <f>'Параметры Расходы'!A64</f>
        <v>Руководитель отдела продаж</v>
      </c>
      <c r="E6" s="173">
        <f>'Параметры Расходы'!B64</f>
        <v>1</v>
      </c>
      <c r="J6" s="156" t="str">
        <f t="shared" ref="J6:J18" si="0">D6</f>
        <v>Руководитель отдела продаж</v>
      </c>
      <c r="K6" s="157">
        <f>'Параметры Расходы'!D64</f>
        <v>114943</v>
      </c>
      <c r="L6" s="173">
        <f>'Параметры Расходы'!F64</f>
        <v>150575.33000000002</v>
      </c>
    </row>
    <row r="7" spans="1:12" x14ac:dyDescent="0.25">
      <c r="D7" s="156" t="str">
        <f>'Параметры Расходы'!A65</f>
        <v>Менеджер по продажам</v>
      </c>
      <c r="E7" s="173">
        <f>'Параметры Расходы'!B65</f>
        <v>1</v>
      </c>
      <c r="J7" s="156" t="str">
        <f t="shared" si="0"/>
        <v>Менеджер по продажам</v>
      </c>
      <c r="K7" s="157">
        <f>'Параметры Расходы'!D65</f>
        <v>97701</v>
      </c>
      <c r="L7" s="173">
        <f>'Параметры Расходы'!F65</f>
        <v>127988.31</v>
      </c>
    </row>
    <row r="8" spans="1:12" x14ac:dyDescent="0.25">
      <c r="D8" s="156" t="str">
        <f>'Параметры Расходы'!A66</f>
        <v>Генеральный директор</v>
      </c>
      <c r="E8" s="173">
        <f>'Параметры Расходы'!B66</f>
        <v>1</v>
      </c>
      <c r="J8" s="156" t="str">
        <f t="shared" si="0"/>
        <v>Генеральный директор</v>
      </c>
      <c r="K8" s="157">
        <f>'Параметры Расходы'!D66</f>
        <v>287356</v>
      </c>
      <c r="L8" s="173">
        <f>'Параметры Расходы'!F66</f>
        <v>376436.36</v>
      </c>
    </row>
    <row r="9" spans="1:12" hidden="1" x14ac:dyDescent="0.25">
      <c r="D9" s="156">
        <f>'Параметры Расходы'!A67</f>
        <v>0</v>
      </c>
      <c r="E9" s="173">
        <f>'Параметры Расходы'!B67</f>
        <v>0</v>
      </c>
      <c r="J9" s="156">
        <f t="shared" si="0"/>
        <v>0</v>
      </c>
      <c r="K9" s="157">
        <f>'Параметры Расходы'!D67</f>
        <v>0</v>
      </c>
      <c r="L9" s="173">
        <f>'Параметры Расходы'!F67</f>
        <v>0</v>
      </c>
    </row>
    <row r="10" spans="1:12" hidden="1" x14ac:dyDescent="0.25">
      <c r="D10" s="156">
        <f>'Параметры Расходы'!A68</f>
        <v>0</v>
      </c>
      <c r="E10" s="173">
        <f>'Параметры Расходы'!B68</f>
        <v>0</v>
      </c>
      <c r="J10" s="156">
        <f t="shared" si="0"/>
        <v>0</v>
      </c>
      <c r="K10" s="157">
        <f>'Параметры Расходы'!D68</f>
        <v>0</v>
      </c>
      <c r="L10" s="173">
        <f>'Параметры Расходы'!F68</f>
        <v>0</v>
      </c>
    </row>
    <row r="11" spans="1:12" x14ac:dyDescent="0.25">
      <c r="D11" s="156" t="str">
        <f>'Параметры Расходы'!A69</f>
        <v>Главный бухгалтер</v>
      </c>
      <c r="E11" s="173">
        <f>'Параметры Расходы'!B69</f>
        <v>1</v>
      </c>
      <c r="J11" s="156" t="str">
        <f t="shared" si="0"/>
        <v>Главный бухгалтер</v>
      </c>
      <c r="K11" s="157">
        <f>'Параметры Расходы'!D69</f>
        <v>183908</v>
      </c>
      <c r="L11" s="173">
        <f>'Параметры Расходы'!F69</f>
        <v>240919.48</v>
      </c>
    </row>
    <row r="12" spans="1:12" x14ac:dyDescent="0.25">
      <c r="D12" s="156" t="str">
        <f>'Параметры Расходы'!A70</f>
        <v>Юрист</v>
      </c>
      <c r="E12" s="173">
        <f>'Параметры Расходы'!B70</f>
        <v>1</v>
      </c>
      <c r="J12" s="156" t="str">
        <f t="shared" si="0"/>
        <v>Юрист</v>
      </c>
      <c r="K12" s="157">
        <f>'Параметры Расходы'!D70</f>
        <v>155172</v>
      </c>
      <c r="L12" s="173">
        <f>'Параметры Расходы'!F70</f>
        <v>203275.32</v>
      </c>
    </row>
    <row r="13" spans="1:12" x14ac:dyDescent="0.25">
      <c r="D13" s="156" t="str">
        <f>'Параметры Расходы'!A71</f>
        <v>Системный администратор</v>
      </c>
      <c r="E13" s="173">
        <f>'Параметры Расходы'!B71</f>
        <v>1</v>
      </c>
      <c r="J13" s="156" t="str">
        <f t="shared" si="0"/>
        <v>Системный администратор</v>
      </c>
      <c r="K13" s="157">
        <f>'Параметры Расходы'!D71</f>
        <v>149425</v>
      </c>
      <c r="L13" s="173">
        <f>'Параметры Расходы'!F71</f>
        <v>195746.75</v>
      </c>
    </row>
    <row r="14" spans="1:12" x14ac:dyDescent="0.25">
      <c r="D14" s="156" t="str">
        <f>'Параметры Расходы'!A72</f>
        <v>Специалист по закупке</v>
      </c>
      <c r="E14" s="173">
        <f>'Параметры Расходы'!B72</f>
        <v>1</v>
      </c>
      <c r="J14" s="156" t="str">
        <f t="shared" si="0"/>
        <v>Специалист по закупке</v>
      </c>
      <c r="K14" s="157">
        <f>'Параметры Расходы'!D72</f>
        <v>105747</v>
      </c>
      <c r="L14" s="173">
        <f>'Параметры Расходы'!F72</f>
        <v>138528.57</v>
      </c>
    </row>
    <row r="15" spans="1:12" hidden="1" x14ac:dyDescent="0.25">
      <c r="D15" s="156">
        <f>'Параметры Расходы'!A73</f>
        <v>0</v>
      </c>
      <c r="E15" s="173">
        <f>'Параметры Расходы'!B73</f>
        <v>0</v>
      </c>
      <c r="J15" s="156">
        <f t="shared" si="0"/>
        <v>0</v>
      </c>
      <c r="K15" s="157">
        <f>'Параметры Расходы'!D73</f>
        <v>0</v>
      </c>
      <c r="L15" s="173">
        <f>'Параметры Расходы'!F73</f>
        <v>0</v>
      </c>
    </row>
    <row r="16" spans="1:12" hidden="1" x14ac:dyDescent="0.25">
      <c r="D16" s="156">
        <f>'Параметры Расходы'!A74</f>
        <v>0</v>
      </c>
      <c r="E16" s="173">
        <f>'Параметры Расходы'!B74</f>
        <v>0</v>
      </c>
      <c r="J16" s="156">
        <f t="shared" si="0"/>
        <v>0</v>
      </c>
      <c r="K16" s="157">
        <f>'Параметры Расходы'!D74</f>
        <v>0</v>
      </c>
      <c r="L16" s="173">
        <f>'Параметры Расходы'!F74</f>
        <v>0</v>
      </c>
    </row>
    <row r="17" spans="4:12" x14ac:dyDescent="0.25">
      <c r="D17" s="156" t="str">
        <f>'Параметры Расходы'!A75</f>
        <v>HRBR</v>
      </c>
      <c r="E17" s="173">
        <f>'Параметры Расходы'!B75</f>
        <v>1</v>
      </c>
      <c r="J17" s="156" t="str">
        <f t="shared" si="0"/>
        <v>HRBR</v>
      </c>
      <c r="K17" s="157">
        <f>'Параметры Расходы'!D75</f>
        <v>172414</v>
      </c>
      <c r="L17" s="173">
        <f>'Параметры Расходы'!F75</f>
        <v>225862.34</v>
      </c>
    </row>
    <row r="18" spans="4:12" x14ac:dyDescent="0.25">
      <c r="D18" s="156" t="str">
        <f>'Параметры Расходы'!A76</f>
        <v xml:space="preserve">Уборщица </v>
      </c>
      <c r="E18" s="173">
        <f>'Параметры Расходы'!B76</f>
        <v>1</v>
      </c>
      <c r="J18" s="156" t="str">
        <f t="shared" si="0"/>
        <v xml:space="preserve">Уборщица </v>
      </c>
      <c r="K18" s="157">
        <f>'Параметры Расходы'!D76</f>
        <v>68966</v>
      </c>
      <c r="L18" s="173">
        <f>'Параметры Расходы'!F76</f>
        <v>90345.459999999992</v>
      </c>
    </row>
    <row r="19" spans="4:12" x14ac:dyDescent="0.25">
      <c r="D19" s="171" t="str">
        <f>'Параметры Расходы'!A77</f>
        <v>Итого:</v>
      </c>
      <c r="E19" s="172">
        <f>'Параметры Расходы'!B77</f>
        <v>41</v>
      </c>
      <c r="J19" s="171" t="str">
        <f t="shared" ref="J19" si="1">D19</f>
        <v>Итого:</v>
      </c>
      <c r="K19" s="174">
        <f>'Параметры Расходы'!D77</f>
        <v>4737932</v>
      </c>
      <c r="L19" s="175">
        <f>'Параметры Расходы'!F77</f>
        <v>6206690.9199999999</v>
      </c>
    </row>
  </sheetData>
  <mergeCells count="1">
    <mergeCell ref="A2:K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2:N55"/>
  <sheetViews>
    <sheetView topLeftCell="A7" workbookViewId="0">
      <selection activeCell="K43" sqref="K43:N48"/>
    </sheetView>
  </sheetViews>
  <sheetFormatPr defaultColWidth="9.28515625" defaultRowHeight="14.25" x14ac:dyDescent="0.2"/>
  <cols>
    <col min="1" max="1" width="9.28515625" style="1"/>
    <col min="2" max="2" width="31" style="1" bestFit="1" customWidth="1"/>
    <col min="3" max="3" width="23.42578125" style="1" bestFit="1" customWidth="1"/>
    <col min="4" max="4" width="29.85546875" style="1" bestFit="1" customWidth="1"/>
    <col min="5" max="5" width="11.28515625" style="1" bestFit="1" customWidth="1"/>
    <col min="6" max="6" width="33.85546875" style="1" bestFit="1" customWidth="1"/>
    <col min="7" max="7" width="25.7109375" style="1" customWidth="1"/>
    <col min="8" max="10" width="9.28515625" style="1"/>
    <col min="11" max="11" width="17.85546875" style="1" customWidth="1"/>
    <col min="12" max="12" width="16" style="1" customWidth="1"/>
    <col min="13" max="13" width="18.28515625" style="1" customWidth="1"/>
    <col min="14" max="14" width="14.42578125" style="1" customWidth="1"/>
    <col min="15" max="16384" width="9.28515625" style="1"/>
  </cols>
  <sheetData>
    <row r="2" spans="1:11" ht="33.75" x14ac:dyDescent="0.5">
      <c r="A2" s="386" t="s">
        <v>352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4" spans="1:11" s="117" customFormat="1" x14ac:dyDescent="0.2"/>
    <row r="6" spans="1:11" x14ac:dyDescent="0.2">
      <c r="B6" s="1" t="str">
        <f>'Параметры Доходы'!A13</f>
        <v>Параметры Ценообразования</v>
      </c>
    </row>
    <row r="7" spans="1:11" ht="15" x14ac:dyDescent="0.25">
      <c r="B7" s="199" t="str">
        <f>'Параметры Доходы'!A14</f>
        <v>Бизнес направления</v>
      </c>
      <c r="C7" s="231" t="str">
        <f>'Параметры Доходы'!B14</f>
        <v>Единицы измерения</v>
      </c>
      <c r="D7" s="200" t="str">
        <f>'Параметры Доходы'!C14</f>
        <v>Цены, руб.</v>
      </c>
    </row>
    <row r="8" spans="1:11" x14ac:dyDescent="0.2">
      <c r="B8" s="184" t="str">
        <f>'Параметры Доходы'!A15</f>
        <v>Печь "ХЛЕБОПЕЧКА"</v>
      </c>
      <c r="C8" s="230" t="str">
        <f>'Параметры Доходы'!B15</f>
        <v>руб./шт.</v>
      </c>
      <c r="D8" s="176">
        <f>'Параметры Доходы'!C15</f>
        <v>3690000</v>
      </c>
    </row>
    <row r="9" spans="1:11" hidden="1" x14ac:dyDescent="0.2">
      <c r="B9" s="184">
        <f>'Параметры Доходы'!A16</f>
        <v>0</v>
      </c>
      <c r="C9" s="230">
        <f>'Параметры Доходы'!B16</f>
        <v>0</v>
      </c>
      <c r="D9" s="176">
        <f>'Параметры Доходы'!C16</f>
        <v>0</v>
      </c>
    </row>
    <row r="10" spans="1:11" hidden="1" x14ac:dyDescent="0.2">
      <c r="B10" s="184">
        <f>'Параметры Доходы'!A17</f>
        <v>0</v>
      </c>
      <c r="C10" s="230">
        <f>'Параметры Доходы'!B17</f>
        <v>0</v>
      </c>
      <c r="D10" s="176">
        <f>'Параметры Доходы'!C17</f>
        <v>0</v>
      </c>
    </row>
    <row r="23" spans="2:4" s="117" customFormat="1" x14ac:dyDescent="0.2"/>
    <row r="25" spans="2:4" x14ac:dyDescent="0.2">
      <c r="B25" s="1" t="str">
        <f>'Параметры Доходы'!A19</f>
        <v>Параметры объема продаж</v>
      </c>
    </row>
    <row r="26" spans="2:4" ht="45" x14ac:dyDescent="0.25">
      <c r="B26" s="199" t="str">
        <f>'Параметры Доходы'!A20</f>
        <v>Бизнес направления</v>
      </c>
      <c r="C26" s="231" t="str">
        <f>'Параметры Доходы'!B20</f>
        <v>Единицы измерения</v>
      </c>
      <c r="D26" s="232" t="str">
        <f>'Параметры Доходы'!C20</f>
        <v>Объем продаж в натуральном выражении в месяц</v>
      </c>
    </row>
    <row r="27" spans="2:4" x14ac:dyDescent="0.2">
      <c r="B27" s="184" t="str">
        <f>'Параметры Доходы'!A21</f>
        <v>Печь "ХЛЕБОПЕЧКА"</v>
      </c>
      <c r="C27" s="230" t="str">
        <f>'Параметры Доходы'!B21</f>
        <v>шт.</v>
      </c>
      <c r="D27" s="233">
        <f>'Параметры Доходы'!C21</f>
        <v>6</v>
      </c>
    </row>
    <row r="28" spans="2:4" hidden="1" x14ac:dyDescent="0.2">
      <c r="B28" s="184">
        <f>'Параметры Доходы'!A22</f>
        <v>0</v>
      </c>
      <c r="C28" s="230" t="str">
        <f>'Параметры Доходы'!B22</f>
        <v>шт.</v>
      </c>
      <c r="D28" s="233">
        <f>'Параметры Доходы'!C22</f>
        <v>0</v>
      </c>
    </row>
    <row r="29" spans="2:4" hidden="1" x14ac:dyDescent="0.2">
      <c r="B29" s="184">
        <f>'Параметры Доходы'!A23</f>
        <v>0</v>
      </c>
      <c r="C29" s="230" t="str">
        <f>'Параметры Доходы'!B23</f>
        <v>шт.</v>
      </c>
      <c r="D29" s="233">
        <f>'Параметры Доходы'!C23</f>
        <v>0</v>
      </c>
    </row>
    <row r="40" spans="11:14" s="117" customFormat="1" x14ac:dyDescent="0.2"/>
    <row r="43" spans="11:14" x14ac:dyDescent="0.2">
      <c r="L43" s="391" t="s">
        <v>349</v>
      </c>
      <c r="M43" s="391"/>
      <c r="N43" s="391"/>
    </row>
    <row r="44" spans="11:14" ht="15" x14ac:dyDescent="0.25">
      <c r="K44" s="199" t="s">
        <v>350</v>
      </c>
      <c r="L44" s="231" t="s">
        <v>346</v>
      </c>
      <c r="M44" s="231" t="s">
        <v>347</v>
      </c>
      <c r="N44" s="200" t="s">
        <v>348</v>
      </c>
    </row>
    <row r="45" spans="11:14" x14ac:dyDescent="0.2">
      <c r="K45" s="184" t="str">
        <f>B27</f>
        <v>Печь "ХЛЕБОПЕЧКА"</v>
      </c>
      <c r="L45" s="239">
        <f>'Параметры Доходы'!D5</f>
        <v>22140000</v>
      </c>
      <c r="M45" s="239">
        <f>'Параметры Доходы'!E5</f>
        <v>66420000</v>
      </c>
      <c r="N45" s="187">
        <f>'Параметры Доходы'!AA5</f>
        <v>265680000</v>
      </c>
    </row>
    <row r="46" spans="11:14" hidden="1" x14ac:dyDescent="0.2">
      <c r="K46" s="184">
        <f>B28</f>
        <v>0</v>
      </c>
      <c r="L46" s="239">
        <f>'Параметры Доходы'!D6</f>
        <v>0</v>
      </c>
      <c r="M46" s="239">
        <f>'Параметры Доходы'!E6</f>
        <v>0</v>
      </c>
      <c r="N46" s="187">
        <f>'Параметры Доходы'!AA6</f>
        <v>0</v>
      </c>
    </row>
    <row r="47" spans="11:14" hidden="1" x14ac:dyDescent="0.2">
      <c r="K47" s="184">
        <f>B29</f>
        <v>0</v>
      </c>
      <c r="L47" s="239">
        <f>'Параметры Доходы'!D7</f>
        <v>0</v>
      </c>
      <c r="M47" s="239">
        <f>'Параметры Доходы'!E7</f>
        <v>0</v>
      </c>
      <c r="N47" s="187">
        <f>'Параметры Доходы'!AA7</f>
        <v>0</v>
      </c>
    </row>
    <row r="48" spans="11:14" ht="15" x14ac:dyDescent="0.25">
      <c r="K48" s="197" t="s">
        <v>7</v>
      </c>
      <c r="L48" s="198">
        <f>SUM(L45:L47)</f>
        <v>22140000</v>
      </c>
      <c r="M48" s="198">
        <f>SUM(M45:M47)</f>
        <v>66420000</v>
      </c>
      <c r="N48" s="178">
        <f>SUM(N45:N47)</f>
        <v>265680000</v>
      </c>
    </row>
    <row r="51" spans="6:6" s="117" customFormat="1" x14ac:dyDescent="0.2">
      <c r="F51" s="240"/>
    </row>
    <row r="52" spans="6:6" x14ac:dyDescent="0.2">
      <c r="F52" s="68"/>
    </row>
    <row r="53" spans="6:6" x14ac:dyDescent="0.2">
      <c r="F53" s="68"/>
    </row>
    <row r="54" spans="6:6" x14ac:dyDescent="0.2">
      <c r="F54" s="68"/>
    </row>
    <row r="55" spans="6:6" ht="15" x14ac:dyDescent="0.25">
      <c r="F55" s="229"/>
    </row>
  </sheetData>
  <mergeCells count="2">
    <mergeCell ref="A2:K2"/>
    <mergeCell ref="L43:N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2:K35"/>
  <sheetViews>
    <sheetView workbookViewId="0">
      <selection activeCell="T29" sqref="T29"/>
    </sheetView>
  </sheetViews>
  <sheetFormatPr defaultColWidth="9.7109375" defaultRowHeight="14.25" x14ac:dyDescent="0.2"/>
  <cols>
    <col min="1" max="1" width="9.7109375" style="1"/>
    <col min="2" max="2" width="21.5703125" style="1" bestFit="1" customWidth="1"/>
    <col min="3" max="16384" width="9.7109375" style="1"/>
  </cols>
  <sheetData>
    <row r="2" spans="1:11" ht="33.75" x14ac:dyDescent="0.5">
      <c r="A2" s="386" t="s">
        <v>351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4" spans="1:11" s="117" customFormat="1" x14ac:dyDescent="0.2"/>
    <row r="5" spans="1:11" x14ac:dyDescent="0.2">
      <c r="C5" s="391" t="s">
        <v>34</v>
      </c>
      <c r="D5" s="391"/>
      <c r="E5" s="391"/>
      <c r="F5" s="391"/>
    </row>
    <row r="6" spans="1:11" ht="15" x14ac:dyDescent="0.25">
      <c r="B6" s="199" t="str">
        <f>'Параметры Доходы'!E14</f>
        <v>Бизнес направления</v>
      </c>
      <c r="C6" s="231" t="str">
        <f>'Параметры Доходы'!F14</f>
        <v>1 кв.</v>
      </c>
      <c r="D6" s="231" t="str">
        <f>'Параметры Доходы'!G14</f>
        <v>2 кв.</v>
      </c>
      <c r="E6" s="231" t="str">
        <f>'Параметры Доходы'!H14</f>
        <v>3 кв.</v>
      </c>
      <c r="F6" s="200" t="str">
        <f>'Параметры Доходы'!I14</f>
        <v>4 кв.</v>
      </c>
    </row>
    <row r="7" spans="1:11" x14ac:dyDescent="0.2">
      <c r="B7" s="184" t="str">
        <f>'Параметры Доходы'!E15</f>
        <v>Печь "ХЛЕБОПЕЧКА"</v>
      </c>
      <c r="C7" s="234">
        <f>'Параметры Доходы'!F15</f>
        <v>0</v>
      </c>
      <c r="D7" s="234">
        <f>'Параметры Доходы'!G15</f>
        <v>0.6</v>
      </c>
      <c r="E7" s="234">
        <f>'Параметры Доходы'!H15</f>
        <v>0.7</v>
      </c>
      <c r="F7" s="228">
        <f>'Параметры Доходы'!I15</f>
        <v>0.8</v>
      </c>
    </row>
    <row r="8" spans="1:11" hidden="1" x14ac:dyDescent="0.2">
      <c r="B8" s="184">
        <f>'Параметры Доходы'!E16</f>
        <v>0</v>
      </c>
      <c r="C8" s="234">
        <f>'Параметры Доходы'!F16</f>
        <v>0</v>
      </c>
      <c r="D8" s="234">
        <f>'Параметры Доходы'!G16</f>
        <v>0</v>
      </c>
      <c r="E8" s="234">
        <f>'Параметры Доходы'!H16</f>
        <v>0</v>
      </c>
      <c r="F8" s="228">
        <f>'Параметры Доходы'!I16</f>
        <v>0</v>
      </c>
    </row>
    <row r="9" spans="1:11" hidden="1" x14ac:dyDescent="0.2">
      <c r="B9" s="184">
        <f>'Параметры Доходы'!E17</f>
        <v>0</v>
      </c>
      <c r="C9" s="234">
        <f>'Параметры Доходы'!F17</f>
        <v>0</v>
      </c>
      <c r="D9" s="234">
        <f>'Параметры Доходы'!G17</f>
        <v>0</v>
      </c>
      <c r="E9" s="234">
        <f>'Параметры Доходы'!H17</f>
        <v>0</v>
      </c>
      <c r="F9" s="228">
        <f>'Параметры Доходы'!I17</f>
        <v>0</v>
      </c>
    </row>
    <row r="11" spans="1:11" x14ac:dyDescent="0.2">
      <c r="C11" s="391" t="s">
        <v>35</v>
      </c>
      <c r="D11" s="391"/>
      <c r="E11" s="391"/>
      <c r="F11" s="391"/>
    </row>
    <row r="12" spans="1:11" ht="15" x14ac:dyDescent="0.25">
      <c r="B12" s="199" t="str">
        <f>B6</f>
        <v>Бизнес направления</v>
      </c>
      <c r="C12" s="231" t="str">
        <f>'Параметры Доходы'!J14</f>
        <v>5 кв.</v>
      </c>
      <c r="D12" s="231" t="str">
        <f>'Параметры Доходы'!K14</f>
        <v>6 кв.</v>
      </c>
      <c r="E12" s="231" t="str">
        <f>'Параметры Доходы'!L14</f>
        <v>7 кв.</v>
      </c>
      <c r="F12" s="200" t="str">
        <f>'Параметры Доходы'!M14</f>
        <v>8 кв.</v>
      </c>
    </row>
    <row r="13" spans="1:11" x14ac:dyDescent="0.2">
      <c r="B13" s="184" t="str">
        <f t="shared" ref="B13:B15" si="0">B7</f>
        <v>Печь "ХЛЕБОПЕЧКА"</v>
      </c>
      <c r="C13" s="234">
        <f>'Параметры Доходы'!J15</f>
        <v>0.9</v>
      </c>
      <c r="D13" s="234">
        <f>'Параметры Доходы'!K15</f>
        <v>1</v>
      </c>
      <c r="E13" s="234">
        <f>'Параметры Доходы'!L15</f>
        <v>1</v>
      </c>
      <c r="F13" s="228">
        <f>'Параметры Доходы'!M15</f>
        <v>1</v>
      </c>
    </row>
    <row r="14" spans="1:11" hidden="1" x14ac:dyDescent="0.2">
      <c r="B14" s="184">
        <f t="shared" si="0"/>
        <v>0</v>
      </c>
      <c r="C14" s="234">
        <f>'Параметры Доходы'!J16</f>
        <v>0</v>
      </c>
      <c r="D14" s="234">
        <f>'Параметры Доходы'!K16</f>
        <v>0</v>
      </c>
      <c r="E14" s="234">
        <f>'Параметры Доходы'!L16</f>
        <v>0</v>
      </c>
      <c r="F14" s="228">
        <f>'Параметры Доходы'!M16</f>
        <v>0</v>
      </c>
    </row>
    <row r="15" spans="1:11" hidden="1" x14ac:dyDescent="0.2">
      <c r="B15" s="184">
        <f t="shared" si="0"/>
        <v>0</v>
      </c>
      <c r="C15" s="234">
        <f>'Параметры Доходы'!J17</f>
        <v>0</v>
      </c>
      <c r="D15" s="234">
        <f>'Параметры Доходы'!K17</f>
        <v>0</v>
      </c>
      <c r="E15" s="234">
        <f>'Параметры Доходы'!L17</f>
        <v>0</v>
      </c>
      <c r="F15" s="228">
        <f>'Параметры Доходы'!M17</f>
        <v>0</v>
      </c>
    </row>
    <row r="17" spans="2:6" x14ac:dyDescent="0.2">
      <c r="C17" s="391" t="s">
        <v>36</v>
      </c>
      <c r="D17" s="391"/>
      <c r="E17" s="391"/>
      <c r="F17" s="391"/>
    </row>
    <row r="18" spans="2:6" ht="15" x14ac:dyDescent="0.25">
      <c r="B18" s="199" t="str">
        <f>B12</f>
        <v>Бизнес направления</v>
      </c>
      <c r="C18" s="231" t="str">
        <f>'Параметры Доходы'!N14</f>
        <v>9 кв.</v>
      </c>
      <c r="D18" s="231" t="str">
        <f>'Параметры Доходы'!O14</f>
        <v>10 кв.</v>
      </c>
      <c r="E18" s="231" t="str">
        <f>'Параметры Доходы'!P14</f>
        <v>11 кв.</v>
      </c>
      <c r="F18" s="200" t="str">
        <f>'Параметры Доходы'!Q14</f>
        <v>12 кв.</v>
      </c>
    </row>
    <row r="19" spans="2:6" x14ac:dyDescent="0.2">
      <c r="B19" s="184" t="str">
        <f t="shared" ref="B19:B21" si="1">B13</f>
        <v>Печь "ХЛЕБОПЕЧКА"</v>
      </c>
      <c r="C19" s="234">
        <f>'Параметры Доходы'!N15</f>
        <v>1</v>
      </c>
      <c r="D19" s="234">
        <f>'Параметры Доходы'!O15</f>
        <v>1</v>
      </c>
      <c r="E19" s="234">
        <f>'Параметры Доходы'!P15</f>
        <v>1</v>
      </c>
      <c r="F19" s="228">
        <f>'Параметры Доходы'!Q15</f>
        <v>1</v>
      </c>
    </row>
    <row r="20" spans="2:6" hidden="1" x14ac:dyDescent="0.2">
      <c r="B20" s="184">
        <f t="shared" si="1"/>
        <v>0</v>
      </c>
      <c r="C20" s="234">
        <f>'Параметры Доходы'!N16</f>
        <v>0</v>
      </c>
      <c r="D20" s="234">
        <f>'Параметры Доходы'!O16</f>
        <v>0</v>
      </c>
      <c r="E20" s="234">
        <f>'Параметры Доходы'!P16</f>
        <v>0</v>
      </c>
      <c r="F20" s="228">
        <f>'Параметры Доходы'!Q16</f>
        <v>0</v>
      </c>
    </row>
    <row r="21" spans="2:6" hidden="1" x14ac:dyDescent="0.2">
      <c r="B21" s="184">
        <f t="shared" si="1"/>
        <v>0</v>
      </c>
      <c r="C21" s="234">
        <f>'Параметры Доходы'!N17</f>
        <v>0</v>
      </c>
      <c r="D21" s="234">
        <f>'Параметры Доходы'!O17</f>
        <v>0</v>
      </c>
      <c r="E21" s="234">
        <f>'Параметры Доходы'!P17</f>
        <v>0</v>
      </c>
      <c r="F21" s="228">
        <f>'Параметры Доходы'!Q17</f>
        <v>0</v>
      </c>
    </row>
    <row r="23" spans="2:6" x14ac:dyDescent="0.2">
      <c r="C23" s="391" t="s">
        <v>37</v>
      </c>
      <c r="D23" s="391"/>
      <c r="E23" s="391"/>
      <c r="F23" s="391"/>
    </row>
    <row r="24" spans="2:6" ht="15" x14ac:dyDescent="0.25">
      <c r="B24" s="199" t="str">
        <f>B18</f>
        <v>Бизнес направления</v>
      </c>
      <c r="C24" s="231" t="str">
        <f>'Параметры Доходы'!R14</f>
        <v>13 кв.</v>
      </c>
      <c r="D24" s="231" t="str">
        <f>'Параметры Доходы'!S14</f>
        <v>14 кв.</v>
      </c>
      <c r="E24" s="231" t="str">
        <f>'Параметры Доходы'!T14</f>
        <v>15 кв.</v>
      </c>
      <c r="F24" s="200" t="str">
        <f>'Параметры Доходы'!U14</f>
        <v>16 кв.</v>
      </c>
    </row>
    <row r="25" spans="2:6" x14ac:dyDescent="0.2">
      <c r="B25" s="184" t="str">
        <f t="shared" ref="B25:B27" si="2">B19</f>
        <v>Печь "ХЛЕБОПЕЧКА"</v>
      </c>
      <c r="C25" s="234">
        <f>'Параметры Доходы'!R15</f>
        <v>1</v>
      </c>
      <c r="D25" s="234">
        <f>'Параметры Доходы'!S15</f>
        <v>1</v>
      </c>
      <c r="E25" s="234">
        <f>'Параметры Доходы'!T15</f>
        <v>1</v>
      </c>
      <c r="F25" s="228">
        <f>'Параметры Доходы'!U15</f>
        <v>1</v>
      </c>
    </row>
    <row r="26" spans="2:6" hidden="1" x14ac:dyDescent="0.2">
      <c r="B26" s="184">
        <f t="shared" si="2"/>
        <v>0</v>
      </c>
      <c r="C26" s="234">
        <f>'Параметры Доходы'!R16</f>
        <v>0</v>
      </c>
      <c r="D26" s="234">
        <f>'Параметры Доходы'!S16</f>
        <v>0</v>
      </c>
      <c r="E26" s="234">
        <f>'Параметры Доходы'!T16</f>
        <v>0</v>
      </c>
      <c r="F26" s="228">
        <f>'Параметры Доходы'!U16</f>
        <v>0</v>
      </c>
    </row>
    <row r="27" spans="2:6" hidden="1" x14ac:dyDescent="0.2">
      <c r="B27" s="184">
        <f t="shared" si="2"/>
        <v>0</v>
      </c>
      <c r="C27" s="234">
        <f>'Параметры Доходы'!R17</f>
        <v>0</v>
      </c>
      <c r="D27" s="234">
        <f>'Параметры Доходы'!S17</f>
        <v>0</v>
      </c>
      <c r="E27" s="234">
        <f>'Параметры Доходы'!T17</f>
        <v>0</v>
      </c>
      <c r="F27" s="228">
        <f>'Параметры Доходы'!U17</f>
        <v>0</v>
      </c>
    </row>
    <row r="29" spans="2:6" x14ac:dyDescent="0.2">
      <c r="C29" s="391" t="s">
        <v>38</v>
      </c>
      <c r="D29" s="391"/>
      <c r="E29" s="391"/>
      <c r="F29" s="391"/>
    </row>
    <row r="30" spans="2:6" ht="15" x14ac:dyDescent="0.25">
      <c r="B30" s="199" t="str">
        <f>B24</f>
        <v>Бизнес направления</v>
      </c>
      <c r="C30" s="231" t="str">
        <f>'Параметры Доходы'!V14</f>
        <v>17 кв.</v>
      </c>
      <c r="D30" s="231" t="str">
        <f>'Параметры Доходы'!W14</f>
        <v>18 кв.</v>
      </c>
      <c r="E30" s="231" t="str">
        <f>'Параметры Доходы'!X14</f>
        <v>19 кв.</v>
      </c>
      <c r="F30" s="200" t="str">
        <f>'Параметры Доходы'!Y14</f>
        <v>20 кв.</v>
      </c>
    </row>
    <row r="31" spans="2:6" x14ac:dyDescent="0.2">
      <c r="B31" s="184" t="str">
        <f t="shared" ref="B31:B33" si="3">B25</f>
        <v>Печь "ХЛЕБОПЕЧКА"</v>
      </c>
      <c r="C31" s="234">
        <f>'Параметры Доходы'!V15</f>
        <v>1</v>
      </c>
      <c r="D31" s="234">
        <f>'Параметры Доходы'!W15</f>
        <v>1</v>
      </c>
      <c r="E31" s="234">
        <f>'Параметры Доходы'!X15</f>
        <v>1</v>
      </c>
      <c r="F31" s="228">
        <f>'Параметры Доходы'!Y15</f>
        <v>1</v>
      </c>
    </row>
    <row r="32" spans="2:6" hidden="1" x14ac:dyDescent="0.2">
      <c r="B32" s="184">
        <f t="shared" si="3"/>
        <v>0</v>
      </c>
      <c r="C32" s="234">
        <f>'Параметры Доходы'!V16</f>
        <v>0</v>
      </c>
      <c r="D32" s="234">
        <f>'Параметры Доходы'!W16</f>
        <v>0</v>
      </c>
      <c r="E32" s="234">
        <f>'Параметры Доходы'!X16</f>
        <v>0</v>
      </c>
      <c r="F32" s="228">
        <f>'Параметры Доходы'!Y16</f>
        <v>0</v>
      </c>
    </row>
    <row r="33" spans="2:6" hidden="1" x14ac:dyDescent="0.2">
      <c r="B33" s="184">
        <f t="shared" si="3"/>
        <v>0</v>
      </c>
      <c r="C33" s="234">
        <f>'Параметры Доходы'!V17</f>
        <v>0</v>
      </c>
      <c r="D33" s="234">
        <f>'Параметры Доходы'!W17</f>
        <v>0</v>
      </c>
      <c r="E33" s="234">
        <f>'Параметры Доходы'!X17</f>
        <v>0</v>
      </c>
      <c r="F33" s="228">
        <f>'Параметры Доходы'!Y17</f>
        <v>0</v>
      </c>
    </row>
    <row r="35" spans="2:6" s="117" customFormat="1" x14ac:dyDescent="0.2"/>
  </sheetData>
  <mergeCells count="6">
    <mergeCell ref="C29:F29"/>
    <mergeCell ref="A2:K2"/>
    <mergeCell ref="C5:F5"/>
    <mergeCell ref="C11:F11"/>
    <mergeCell ref="C17:F17"/>
    <mergeCell ref="C23:F2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2:K46"/>
  <sheetViews>
    <sheetView workbookViewId="0">
      <selection activeCell="B34" sqref="B34:G38"/>
    </sheetView>
  </sheetViews>
  <sheetFormatPr defaultColWidth="9.7109375" defaultRowHeight="14.25" x14ac:dyDescent="0.2"/>
  <cols>
    <col min="1" max="1" width="9.7109375" style="1"/>
    <col min="2" max="2" width="23.5703125" style="1" bestFit="1" customWidth="1"/>
    <col min="3" max="7" width="13.28515625" style="1" customWidth="1"/>
    <col min="8" max="16384" width="9.7109375" style="1"/>
  </cols>
  <sheetData>
    <row r="2" spans="1:11" ht="33.75" x14ac:dyDescent="0.5">
      <c r="A2" s="386" t="s">
        <v>353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4" spans="1:11" s="117" customFormat="1" x14ac:dyDescent="0.2"/>
    <row r="5" spans="1:11" x14ac:dyDescent="0.2">
      <c r="C5" s="391" t="s">
        <v>34</v>
      </c>
      <c r="D5" s="391"/>
      <c r="E5" s="391"/>
      <c r="F5" s="391"/>
    </row>
    <row r="6" spans="1:11" ht="15" x14ac:dyDescent="0.25">
      <c r="B6" s="199" t="str">
        <f>'Параметры Доходы'!E14</f>
        <v>Бизнес направления</v>
      </c>
      <c r="C6" s="231" t="str">
        <f>'Параметры Доходы'!F14</f>
        <v>1 кв.</v>
      </c>
      <c r="D6" s="231" t="str">
        <f>'Параметры Доходы'!G14</f>
        <v>2 кв.</v>
      </c>
      <c r="E6" s="231" t="str">
        <f>'Параметры Доходы'!H14</f>
        <v>3 кв.</v>
      </c>
      <c r="F6" s="200" t="str">
        <f>'Параметры Доходы'!I14</f>
        <v>4 кв.</v>
      </c>
      <c r="G6" s="236" t="s">
        <v>358</v>
      </c>
    </row>
    <row r="7" spans="1:11" x14ac:dyDescent="0.2">
      <c r="B7" s="184" t="str">
        <f>'Параметры Доходы'!E15</f>
        <v>Печь "ХЛЕБОПЕЧКА"</v>
      </c>
      <c r="C7" s="235">
        <f>'Параметры Доходы'!F5</f>
        <v>0</v>
      </c>
      <c r="D7" s="235">
        <f>'Параметры Доходы'!G5</f>
        <v>39852000</v>
      </c>
      <c r="E7" s="235">
        <f>'Параметры Доходы'!H5</f>
        <v>46494000</v>
      </c>
      <c r="F7" s="235">
        <f>'Параметры Доходы'!I5</f>
        <v>53136000</v>
      </c>
      <c r="G7" s="237">
        <f>SUM(C7:F7)</f>
        <v>139482000</v>
      </c>
    </row>
    <row r="8" spans="1:11" hidden="1" x14ac:dyDescent="0.2">
      <c r="B8" s="184">
        <f>'Параметры Доходы'!E16</f>
        <v>0</v>
      </c>
      <c r="C8" s="235">
        <f>'Параметры Доходы'!F6</f>
        <v>0</v>
      </c>
      <c r="D8" s="235">
        <f>'Параметры Доходы'!G6</f>
        <v>0</v>
      </c>
      <c r="E8" s="235">
        <f>'Параметры Доходы'!H6</f>
        <v>0</v>
      </c>
      <c r="F8" s="235">
        <f>'Параметры Доходы'!I6</f>
        <v>0</v>
      </c>
      <c r="G8" s="237">
        <f t="shared" ref="G8:G10" si="0">SUM(C8:F8)</f>
        <v>0</v>
      </c>
    </row>
    <row r="9" spans="1:11" hidden="1" x14ac:dyDescent="0.2">
      <c r="B9" s="184">
        <f>'Параметры Доходы'!E17</f>
        <v>0</v>
      </c>
      <c r="C9" s="235">
        <f>'Параметры Доходы'!F7</f>
        <v>0</v>
      </c>
      <c r="D9" s="235">
        <f>'Параметры Доходы'!G7</f>
        <v>0</v>
      </c>
      <c r="E9" s="235">
        <f>'Параметры Доходы'!H7</f>
        <v>0</v>
      </c>
      <c r="F9" s="235">
        <f>'Параметры Доходы'!I7</f>
        <v>0</v>
      </c>
      <c r="G9" s="237">
        <f t="shared" si="0"/>
        <v>0</v>
      </c>
    </row>
    <row r="10" spans="1:11" ht="15" x14ac:dyDescent="0.25">
      <c r="B10" s="184" t="s">
        <v>7</v>
      </c>
      <c r="C10" s="235">
        <f>SUM(C7:C9)</f>
        <v>0</v>
      </c>
      <c r="D10" s="235">
        <f t="shared" ref="D10:F10" si="1">SUM(D7:D9)</f>
        <v>39852000</v>
      </c>
      <c r="E10" s="235">
        <f t="shared" si="1"/>
        <v>46494000</v>
      </c>
      <c r="F10" s="235">
        <f t="shared" si="1"/>
        <v>53136000</v>
      </c>
      <c r="G10" s="238">
        <f t="shared" si="0"/>
        <v>139482000</v>
      </c>
    </row>
    <row r="12" spans="1:11" x14ac:dyDescent="0.2">
      <c r="C12" s="391" t="s">
        <v>35</v>
      </c>
      <c r="D12" s="391"/>
      <c r="E12" s="391"/>
      <c r="F12" s="391"/>
    </row>
    <row r="13" spans="1:11" ht="15" x14ac:dyDescent="0.25">
      <c r="B13" s="199" t="str">
        <f>B6</f>
        <v>Бизнес направления</v>
      </c>
      <c r="C13" s="231" t="str">
        <f>'Параметры Доходы'!J14</f>
        <v>5 кв.</v>
      </c>
      <c r="D13" s="231" t="str">
        <f>'Параметры Доходы'!K14</f>
        <v>6 кв.</v>
      </c>
      <c r="E13" s="231" t="str">
        <f>'Параметры Доходы'!L14</f>
        <v>7 кв.</v>
      </c>
      <c r="F13" s="200" t="str">
        <f>'Параметры Доходы'!M14</f>
        <v>8 кв.</v>
      </c>
      <c r="G13" s="236" t="s">
        <v>354</v>
      </c>
    </row>
    <row r="14" spans="1:11" x14ac:dyDescent="0.2">
      <c r="B14" s="184" t="str">
        <f>B7</f>
        <v>Печь "ХЛЕБОПЕЧКА"</v>
      </c>
      <c r="C14" s="235">
        <f>'Параметры Доходы'!J5</f>
        <v>59778000</v>
      </c>
      <c r="D14" s="235">
        <f>'Параметры Доходы'!K5</f>
        <v>66420000</v>
      </c>
      <c r="E14" s="235">
        <f>'Параметры Доходы'!L5</f>
        <v>66420000</v>
      </c>
      <c r="F14" s="235">
        <f>'Параметры Доходы'!M5</f>
        <v>66420000</v>
      </c>
      <c r="G14" s="237">
        <f>SUM(C14:F14)</f>
        <v>259038000</v>
      </c>
    </row>
    <row r="15" spans="1:11" hidden="1" x14ac:dyDescent="0.2">
      <c r="B15" s="184">
        <f>B8</f>
        <v>0</v>
      </c>
      <c r="C15" s="235">
        <f>'Параметры Доходы'!J6</f>
        <v>0</v>
      </c>
      <c r="D15" s="235">
        <f>'Параметры Доходы'!K6</f>
        <v>0</v>
      </c>
      <c r="E15" s="235">
        <f>'Параметры Доходы'!L6</f>
        <v>0</v>
      </c>
      <c r="F15" s="235">
        <f>'Параметры Доходы'!M6</f>
        <v>0</v>
      </c>
      <c r="G15" s="237">
        <f t="shared" ref="G15:G17" si="2">SUM(C15:F15)</f>
        <v>0</v>
      </c>
    </row>
    <row r="16" spans="1:11" hidden="1" x14ac:dyDescent="0.2">
      <c r="B16" s="184">
        <f>B9</f>
        <v>0</v>
      </c>
      <c r="C16" s="235">
        <f>'Параметры Доходы'!J7</f>
        <v>0</v>
      </c>
      <c r="D16" s="235">
        <f>'Параметры Доходы'!K7</f>
        <v>0</v>
      </c>
      <c r="E16" s="235">
        <f>'Параметры Доходы'!L7</f>
        <v>0</v>
      </c>
      <c r="F16" s="235">
        <f>'Параметры Доходы'!M7</f>
        <v>0</v>
      </c>
      <c r="G16" s="237">
        <f t="shared" si="2"/>
        <v>0</v>
      </c>
    </row>
    <row r="17" spans="2:7" ht="15" x14ac:dyDescent="0.25">
      <c r="B17" s="184" t="s">
        <v>7</v>
      </c>
      <c r="C17" s="235">
        <f>SUM(C14:C16)</f>
        <v>59778000</v>
      </c>
      <c r="D17" s="235">
        <f t="shared" ref="D17:F17" si="3">SUM(D14:D16)</f>
        <v>66420000</v>
      </c>
      <c r="E17" s="235">
        <f t="shared" si="3"/>
        <v>66420000</v>
      </c>
      <c r="F17" s="235">
        <f t="shared" si="3"/>
        <v>66420000</v>
      </c>
      <c r="G17" s="238">
        <f t="shared" si="2"/>
        <v>259038000</v>
      </c>
    </row>
    <row r="19" spans="2:7" x14ac:dyDescent="0.2">
      <c r="C19" s="391" t="s">
        <v>36</v>
      </c>
      <c r="D19" s="391"/>
      <c r="E19" s="391"/>
      <c r="F19" s="391"/>
    </row>
    <row r="20" spans="2:7" ht="15" x14ac:dyDescent="0.25">
      <c r="B20" s="199" t="str">
        <f>B13</f>
        <v>Бизнес направления</v>
      </c>
      <c r="C20" s="231" t="str">
        <f>'Параметры Доходы'!N14</f>
        <v>9 кв.</v>
      </c>
      <c r="D20" s="231" t="str">
        <f>'Параметры Доходы'!O14</f>
        <v>10 кв.</v>
      </c>
      <c r="E20" s="231" t="str">
        <f>'Параметры Доходы'!P14</f>
        <v>11 кв.</v>
      </c>
      <c r="F20" s="200" t="str">
        <f>'Параметры Доходы'!Q14</f>
        <v>12 кв.</v>
      </c>
      <c r="G20" s="236" t="s">
        <v>355</v>
      </c>
    </row>
    <row r="21" spans="2:7" x14ac:dyDescent="0.2">
      <c r="B21" s="184" t="str">
        <f>B14</f>
        <v>Печь "ХЛЕБОПЕЧКА"</v>
      </c>
      <c r="C21" s="235">
        <f>'Параметры Доходы'!N5</f>
        <v>66420000</v>
      </c>
      <c r="D21" s="235">
        <f>'Параметры Доходы'!O5</f>
        <v>66420000</v>
      </c>
      <c r="E21" s="235">
        <f>'Параметры Доходы'!P5</f>
        <v>66420000</v>
      </c>
      <c r="F21" s="235">
        <f>'Параметры Доходы'!Q5</f>
        <v>66420000</v>
      </c>
      <c r="G21" s="237">
        <f>SUM(C21:F21)</f>
        <v>265680000</v>
      </c>
    </row>
    <row r="22" spans="2:7" hidden="1" x14ac:dyDescent="0.2">
      <c r="B22" s="184">
        <f>B15</f>
        <v>0</v>
      </c>
      <c r="C22" s="235">
        <f>'Параметры Доходы'!N6</f>
        <v>0</v>
      </c>
      <c r="D22" s="235">
        <f>'Параметры Доходы'!O6</f>
        <v>0</v>
      </c>
      <c r="E22" s="235">
        <f>'Параметры Доходы'!P6</f>
        <v>0</v>
      </c>
      <c r="F22" s="235">
        <f>'Параметры Доходы'!Q6</f>
        <v>0</v>
      </c>
      <c r="G22" s="237">
        <f t="shared" ref="G22:G24" si="4">SUM(C22:F22)</f>
        <v>0</v>
      </c>
    </row>
    <row r="23" spans="2:7" hidden="1" x14ac:dyDescent="0.2">
      <c r="B23" s="184">
        <f>B16</f>
        <v>0</v>
      </c>
      <c r="C23" s="235">
        <f>'Параметры Доходы'!N7</f>
        <v>0</v>
      </c>
      <c r="D23" s="235">
        <f>'Параметры Доходы'!O7</f>
        <v>0</v>
      </c>
      <c r="E23" s="235">
        <f>'Параметры Доходы'!P7</f>
        <v>0</v>
      </c>
      <c r="F23" s="235">
        <f>'Параметры Доходы'!Q7</f>
        <v>0</v>
      </c>
      <c r="G23" s="237">
        <f t="shared" si="4"/>
        <v>0</v>
      </c>
    </row>
    <row r="24" spans="2:7" ht="15" x14ac:dyDescent="0.25">
      <c r="B24" s="184" t="s">
        <v>7</v>
      </c>
      <c r="C24" s="235">
        <f>SUM(C21:C23)</f>
        <v>66420000</v>
      </c>
      <c r="D24" s="235">
        <f t="shared" ref="D24:F24" si="5">SUM(D21:D23)</f>
        <v>66420000</v>
      </c>
      <c r="E24" s="235">
        <f t="shared" si="5"/>
        <v>66420000</v>
      </c>
      <c r="F24" s="235">
        <f t="shared" si="5"/>
        <v>66420000</v>
      </c>
      <c r="G24" s="238">
        <f t="shared" si="4"/>
        <v>265680000</v>
      </c>
    </row>
    <row r="26" spans="2:7" x14ac:dyDescent="0.2">
      <c r="C26" s="391" t="s">
        <v>37</v>
      </c>
      <c r="D26" s="391"/>
      <c r="E26" s="391"/>
      <c r="F26" s="391"/>
    </row>
    <row r="27" spans="2:7" ht="15" x14ac:dyDescent="0.25">
      <c r="B27" s="199" t="str">
        <f>B20</f>
        <v>Бизнес направления</v>
      </c>
      <c r="C27" s="231" t="str">
        <f>'Параметры Доходы'!R14</f>
        <v>13 кв.</v>
      </c>
      <c r="D27" s="231" t="str">
        <f>'Параметры Доходы'!S14</f>
        <v>14 кв.</v>
      </c>
      <c r="E27" s="231" t="str">
        <f>'Параметры Доходы'!T14</f>
        <v>15 кв.</v>
      </c>
      <c r="F27" s="200" t="str">
        <f>'Параметры Доходы'!U14</f>
        <v>16 кв.</v>
      </c>
      <c r="G27" s="236" t="s">
        <v>356</v>
      </c>
    </row>
    <row r="28" spans="2:7" x14ac:dyDescent="0.2">
      <c r="B28" s="184" t="str">
        <f>B21</f>
        <v>Печь "ХЛЕБОПЕЧКА"</v>
      </c>
      <c r="C28" s="235">
        <f>'Параметры Доходы'!R5</f>
        <v>66420000</v>
      </c>
      <c r="D28" s="235">
        <f>'Параметры Доходы'!S5</f>
        <v>66420000</v>
      </c>
      <c r="E28" s="235">
        <f>'Параметры Доходы'!T5</f>
        <v>66420000</v>
      </c>
      <c r="F28" s="235">
        <f>'Параметры Доходы'!U5</f>
        <v>66420000</v>
      </c>
      <c r="G28" s="237">
        <f>SUM(C28:F28)</f>
        <v>265680000</v>
      </c>
    </row>
    <row r="29" spans="2:7" hidden="1" x14ac:dyDescent="0.2">
      <c r="B29" s="184">
        <f>B22</f>
        <v>0</v>
      </c>
      <c r="C29" s="235">
        <f>'Параметры Доходы'!R6</f>
        <v>0</v>
      </c>
      <c r="D29" s="235">
        <f>'Параметры Доходы'!S6</f>
        <v>0</v>
      </c>
      <c r="E29" s="235">
        <f>'Параметры Доходы'!T6</f>
        <v>0</v>
      </c>
      <c r="F29" s="235">
        <f>'Параметры Доходы'!U6</f>
        <v>0</v>
      </c>
      <c r="G29" s="237">
        <f t="shared" ref="G29:G31" si="6">SUM(C29:F29)</f>
        <v>0</v>
      </c>
    </row>
    <row r="30" spans="2:7" hidden="1" x14ac:dyDescent="0.2">
      <c r="B30" s="184">
        <f>B23</f>
        <v>0</v>
      </c>
      <c r="C30" s="235">
        <f>'Параметры Доходы'!R7</f>
        <v>0</v>
      </c>
      <c r="D30" s="235">
        <f>'Параметры Доходы'!S7</f>
        <v>0</v>
      </c>
      <c r="E30" s="235">
        <f>'Параметры Доходы'!T7</f>
        <v>0</v>
      </c>
      <c r="F30" s="235">
        <f>'Параметры Доходы'!U7</f>
        <v>0</v>
      </c>
      <c r="G30" s="237">
        <f t="shared" si="6"/>
        <v>0</v>
      </c>
    </row>
    <row r="31" spans="2:7" ht="15" x14ac:dyDescent="0.25">
      <c r="B31" s="184" t="s">
        <v>7</v>
      </c>
      <c r="C31" s="235">
        <f>SUM(C28:C30)</f>
        <v>66420000</v>
      </c>
      <c r="D31" s="235">
        <f t="shared" ref="D31:F31" si="7">SUM(D28:D30)</f>
        <v>66420000</v>
      </c>
      <c r="E31" s="235">
        <f t="shared" si="7"/>
        <v>66420000</v>
      </c>
      <c r="F31" s="235">
        <f t="shared" si="7"/>
        <v>66420000</v>
      </c>
      <c r="G31" s="238">
        <f t="shared" si="6"/>
        <v>265680000</v>
      </c>
    </row>
    <row r="33" spans="2:7" x14ac:dyDescent="0.2">
      <c r="C33" s="391" t="s">
        <v>38</v>
      </c>
      <c r="D33" s="391"/>
      <c r="E33" s="391"/>
      <c r="F33" s="391"/>
    </row>
    <row r="34" spans="2:7" ht="15" x14ac:dyDescent="0.25">
      <c r="B34" s="199" t="str">
        <f>B27</f>
        <v>Бизнес направления</v>
      </c>
      <c r="C34" s="231" t="str">
        <f>'Параметры Доходы'!V14</f>
        <v>17 кв.</v>
      </c>
      <c r="D34" s="231" t="str">
        <f>'Параметры Доходы'!W14</f>
        <v>18 кв.</v>
      </c>
      <c r="E34" s="231" t="str">
        <f>'Параметры Доходы'!X14</f>
        <v>19 кв.</v>
      </c>
      <c r="F34" s="200" t="str">
        <f>'Параметры Доходы'!Y14</f>
        <v>20 кв.</v>
      </c>
      <c r="G34" s="236" t="s">
        <v>357</v>
      </c>
    </row>
    <row r="35" spans="2:7" x14ac:dyDescent="0.2">
      <c r="B35" s="184" t="str">
        <f t="shared" ref="B35:B37" si="8">B28</f>
        <v>Печь "ХЛЕБОПЕЧКА"</v>
      </c>
      <c r="C35" s="235">
        <f>'Параметры Доходы'!V5</f>
        <v>66420000</v>
      </c>
      <c r="D35" s="235">
        <f>'Параметры Доходы'!W5</f>
        <v>66420000</v>
      </c>
      <c r="E35" s="235">
        <f>'Параметры Доходы'!X5</f>
        <v>66420000</v>
      </c>
      <c r="F35" s="235">
        <f>'Параметры Доходы'!Y5</f>
        <v>66420000</v>
      </c>
      <c r="G35" s="237">
        <f>SUM(C35:F35)</f>
        <v>265680000</v>
      </c>
    </row>
    <row r="36" spans="2:7" hidden="1" x14ac:dyDescent="0.2">
      <c r="B36" s="184">
        <f t="shared" si="8"/>
        <v>0</v>
      </c>
      <c r="C36" s="235">
        <f>'Параметры Доходы'!V6</f>
        <v>0</v>
      </c>
      <c r="D36" s="235">
        <f>'Параметры Доходы'!W6</f>
        <v>0</v>
      </c>
      <c r="E36" s="235">
        <f>'Параметры Доходы'!X6</f>
        <v>0</v>
      </c>
      <c r="F36" s="235">
        <f>'Параметры Доходы'!Y6</f>
        <v>0</v>
      </c>
      <c r="G36" s="237">
        <f t="shared" ref="G36:G38" si="9">SUM(C36:F36)</f>
        <v>0</v>
      </c>
    </row>
    <row r="37" spans="2:7" hidden="1" x14ac:dyDescent="0.2">
      <c r="B37" s="184">
        <f t="shared" si="8"/>
        <v>0</v>
      </c>
      <c r="C37" s="235">
        <f>'Параметры Доходы'!V7</f>
        <v>0</v>
      </c>
      <c r="D37" s="235">
        <f>'Параметры Доходы'!W7</f>
        <v>0</v>
      </c>
      <c r="E37" s="235">
        <f>'Параметры Доходы'!X7</f>
        <v>0</v>
      </c>
      <c r="F37" s="235">
        <f>'Параметры Доходы'!Y7</f>
        <v>0</v>
      </c>
      <c r="G37" s="237">
        <f t="shared" si="9"/>
        <v>0</v>
      </c>
    </row>
    <row r="38" spans="2:7" ht="15" x14ac:dyDescent="0.25">
      <c r="B38" s="184" t="s">
        <v>7</v>
      </c>
      <c r="C38" s="235">
        <f>SUM(C35:C37)</f>
        <v>66420000</v>
      </c>
      <c r="D38" s="235">
        <f t="shared" ref="D38:F38" si="10">SUM(D35:D37)</f>
        <v>66420000</v>
      </c>
      <c r="E38" s="235">
        <f t="shared" si="10"/>
        <v>66420000</v>
      </c>
      <c r="F38" s="235">
        <f t="shared" si="10"/>
        <v>66420000</v>
      </c>
      <c r="G38" s="238">
        <f t="shared" si="9"/>
        <v>265680000</v>
      </c>
    </row>
    <row r="40" spans="2:7" s="117" customFormat="1" x14ac:dyDescent="0.2"/>
    <row r="42" spans="2:7" ht="15" x14ac:dyDescent="0.25">
      <c r="B42" s="199" t="str">
        <f>B34</f>
        <v>Бизнес направления</v>
      </c>
      <c r="C42" s="231" t="s">
        <v>34</v>
      </c>
      <c r="D42" s="231" t="s">
        <v>35</v>
      </c>
      <c r="E42" s="231" t="s">
        <v>36</v>
      </c>
      <c r="F42" s="200" t="s">
        <v>37</v>
      </c>
      <c r="G42" s="236" t="s">
        <v>38</v>
      </c>
    </row>
    <row r="43" spans="2:7" x14ac:dyDescent="0.2">
      <c r="B43" s="184" t="str">
        <f t="shared" ref="B43:B45" si="11">B35</f>
        <v>Печь "ХЛЕБОПЕЧКА"</v>
      </c>
      <c r="C43" s="235">
        <f>G7</f>
        <v>139482000</v>
      </c>
      <c r="D43" s="235">
        <f>G14</f>
        <v>259038000</v>
      </c>
      <c r="E43" s="235">
        <f>G21</f>
        <v>265680000</v>
      </c>
      <c r="F43" s="235">
        <f>G28</f>
        <v>265680000</v>
      </c>
      <c r="G43" s="237">
        <f>G35</f>
        <v>265680000</v>
      </c>
    </row>
    <row r="44" spans="2:7" hidden="1" x14ac:dyDescent="0.2">
      <c r="B44" s="184">
        <f t="shared" si="11"/>
        <v>0</v>
      </c>
      <c r="C44" s="235">
        <f t="shared" ref="C44:C46" si="12">G8</f>
        <v>0</v>
      </c>
      <c r="D44" s="235">
        <f t="shared" ref="D44:D46" si="13">G15</f>
        <v>0</v>
      </c>
      <c r="E44" s="235">
        <f t="shared" ref="E44:E46" si="14">G22</f>
        <v>0</v>
      </c>
      <c r="F44" s="235">
        <f t="shared" ref="F44:F46" si="15">G29</f>
        <v>0</v>
      </c>
      <c r="G44" s="237">
        <f t="shared" ref="G44:G46" si="16">G36</f>
        <v>0</v>
      </c>
    </row>
    <row r="45" spans="2:7" hidden="1" x14ac:dyDescent="0.2">
      <c r="B45" s="184">
        <f t="shared" si="11"/>
        <v>0</v>
      </c>
      <c r="C45" s="235">
        <f t="shared" si="12"/>
        <v>0</v>
      </c>
      <c r="D45" s="235">
        <f t="shared" si="13"/>
        <v>0</v>
      </c>
      <c r="E45" s="235">
        <f t="shared" si="14"/>
        <v>0</v>
      </c>
      <c r="F45" s="235">
        <f t="shared" si="15"/>
        <v>0</v>
      </c>
      <c r="G45" s="237">
        <f t="shared" si="16"/>
        <v>0</v>
      </c>
    </row>
    <row r="46" spans="2:7" ht="15" x14ac:dyDescent="0.25">
      <c r="B46" s="184" t="s">
        <v>7</v>
      </c>
      <c r="C46" s="235">
        <f t="shared" si="12"/>
        <v>139482000</v>
      </c>
      <c r="D46" s="235">
        <f t="shared" si="13"/>
        <v>259038000</v>
      </c>
      <c r="E46" s="235">
        <f t="shared" si="14"/>
        <v>265680000</v>
      </c>
      <c r="F46" s="235">
        <f t="shared" si="15"/>
        <v>265680000</v>
      </c>
      <c r="G46" s="238">
        <f t="shared" si="16"/>
        <v>265680000</v>
      </c>
    </row>
  </sheetData>
  <mergeCells count="6">
    <mergeCell ref="C33:F33"/>
    <mergeCell ref="A2:K2"/>
    <mergeCell ref="C5:F5"/>
    <mergeCell ref="C12:F12"/>
    <mergeCell ref="C19:F19"/>
    <mergeCell ref="C26:F26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2:K4"/>
  <sheetViews>
    <sheetView workbookViewId="0"/>
  </sheetViews>
  <sheetFormatPr defaultColWidth="9.7109375" defaultRowHeight="14.25" x14ac:dyDescent="0.2"/>
  <cols>
    <col min="1" max="1" width="9.7109375" style="1"/>
    <col min="2" max="2" width="23.5703125" style="1" bestFit="1" customWidth="1"/>
    <col min="3" max="7" width="13.28515625" style="1" customWidth="1"/>
    <col min="8" max="16384" width="9.7109375" style="1"/>
  </cols>
  <sheetData>
    <row r="2" spans="1:11" ht="33.75" x14ac:dyDescent="0.5">
      <c r="A2" s="386" t="s">
        <v>359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4" spans="1:11" s="117" customFormat="1" x14ac:dyDescent="0.2"/>
  </sheetData>
  <mergeCells count="1">
    <mergeCell ref="A2:K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2:K10"/>
  <sheetViews>
    <sheetView workbookViewId="0">
      <selection activeCell="G6" sqref="G6:I10"/>
    </sheetView>
  </sheetViews>
  <sheetFormatPr defaultRowHeight="14.25" x14ac:dyDescent="0.2"/>
  <cols>
    <col min="1" max="1" width="9.140625" style="1"/>
    <col min="2" max="2" width="20" style="1" bestFit="1" customWidth="1"/>
    <col min="3" max="3" width="20.42578125" style="1" bestFit="1" customWidth="1"/>
    <col min="4" max="4" width="32.42578125" style="1" customWidth="1"/>
    <col min="5" max="5" width="21.85546875" style="1" customWidth="1"/>
    <col min="6" max="6" width="9.140625" style="1"/>
    <col min="7" max="7" width="20.28515625" style="1" customWidth="1"/>
    <col min="8" max="8" width="29.28515625" style="1" customWidth="1"/>
    <col min="9" max="9" width="26.85546875" style="1" customWidth="1"/>
    <col min="10" max="16384" width="9.140625" style="1"/>
  </cols>
  <sheetData>
    <row r="2" spans="1:11" ht="33.75" x14ac:dyDescent="0.5">
      <c r="A2" s="386" t="s">
        <v>360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5" spans="1:11" x14ac:dyDescent="0.2">
      <c r="B5" s="392" t="str">
        <f>'Параметры Расходы'!A36</f>
        <v>Параметры переменных расходов</v>
      </c>
      <c r="C5" s="392"/>
      <c r="D5" s="392"/>
      <c r="E5" s="392"/>
    </row>
    <row r="6" spans="1:11" ht="30" x14ac:dyDescent="0.25">
      <c r="B6" s="242" t="str">
        <f>'Параметры Расходы'!A37</f>
        <v>Бизнес направления</v>
      </c>
      <c r="C6" s="242" t="str">
        <f>'Параметры Расходы'!B37</f>
        <v>Единицы измерения</v>
      </c>
      <c r="D6" s="242" t="str">
        <f>'Параметры Расходы'!C37</f>
        <v>Доля переменных расходов в цене продажи, %</v>
      </c>
      <c r="E6" s="242" t="str">
        <f>'Параметры Расходы'!D37</f>
        <v>Переменные расходы</v>
      </c>
      <c r="G6" s="242" t="str">
        <f>B6</f>
        <v>Бизнес направления</v>
      </c>
      <c r="H6" s="242" t="str">
        <f>'Параметры Расходы'!B4</f>
        <v>Объем расходов при 100% загрузке в квартал</v>
      </c>
      <c r="I6" s="242" t="str">
        <f>'Параметры Расходы'!C4</f>
        <v>Объем расходов при 100% загрузке в год</v>
      </c>
    </row>
    <row r="7" spans="1:11" x14ac:dyDescent="0.2">
      <c r="B7" s="243" t="str">
        <f>'Параметры Расходы'!A38</f>
        <v>Печь "ХЛЕБОПЕЧКА"</v>
      </c>
      <c r="C7" s="239" t="str">
        <f>'Параметры Расходы'!B38</f>
        <v>руб./шт.</v>
      </c>
      <c r="D7" s="234">
        <f>'Параметры Расходы'!C38</f>
        <v>0.4899</v>
      </c>
      <c r="E7" s="187">
        <f>'Параметры Расходы'!D38</f>
        <v>1807731</v>
      </c>
      <c r="G7" s="244" t="str">
        <f>'Параметры Расходы'!A6</f>
        <v>Печь "ХЛЕБОПЕЧКА"</v>
      </c>
      <c r="H7" s="245">
        <f>'Параметры Расходы'!B6</f>
        <v>32539158</v>
      </c>
      <c r="I7" s="246">
        <f>'Параметры Расходы'!C6</f>
        <v>130156632</v>
      </c>
    </row>
    <row r="8" spans="1:11" hidden="1" x14ac:dyDescent="0.2">
      <c r="B8" s="243">
        <f>'Параметры Расходы'!A39</f>
        <v>0</v>
      </c>
      <c r="C8" s="239">
        <f>'Параметры Расходы'!B39</f>
        <v>0</v>
      </c>
      <c r="D8" s="234">
        <f>'Параметры Расходы'!C39</f>
        <v>0</v>
      </c>
      <c r="E8" s="187">
        <f>'Параметры Расходы'!D39</f>
        <v>0</v>
      </c>
      <c r="G8" s="247">
        <f>'Параметры Расходы'!A7</f>
        <v>0</v>
      </c>
      <c r="H8" s="222">
        <f>'Параметры Расходы'!B7</f>
        <v>0</v>
      </c>
      <c r="I8" s="248">
        <f>'Параметры Расходы'!C7</f>
        <v>0</v>
      </c>
    </row>
    <row r="9" spans="1:11" hidden="1" x14ac:dyDescent="0.2">
      <c r="B9" s="243">
        <f>'Параметры Расходы'!A40</f>
        <v>0</v>
      </c>
      <c r="C9" s="239">
        <f>'Параметры Расходы'!B40</f>
        <v>0</v>
      </c>
      <c r="D9" s="234">
        <f>'Параметры Расходы'!C40</f>
        <v>0</v>
      </c>
      <c r="E9" s="187">
        <f>'Параметры Расходы'!D40</f>
        <v>0</v>
      </c>
      <c r="G9" s="247">
        <f>'Параметры Расходы'!A8</f>
        <v>0</v>
      </c>
      <c r="H9" s="222">
        <f>'Параметры Расходы'!B8</f>
        <v>0</v>
      </c>
      <c r="I9" s="248">
        <f>'Параметры Расходы'!C8</f>
        <v>0</v>
      </c>
    </row>
    <row r="10" spans="1:11" ht="15" x14ac:dyDescent="0.25">
      <c r="G10" s="249" t="str">
        <f>'Параметры Расходы'!A9</f>
        <v>Итого</v>
      </c>
      <c r="H10" s="250">
        <f>'Параметры Расходы'!B9</f>
        <v>32539158</v>
      </c>
      <c r="I10" s="251">
        <f>'Параметры Расходы'!C9</f>
        <v>130156632</v>
      </c>
    </row>
  </sheetData>
  <mergeCells count="2">
    <mergeCell ref="A2:K2"/>
    <mergeCell ref="B5:E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2:K38"/>
  <sheetViews>
    <sheetView workbookViewId="0">
      <selection activeCell="F23" sqref="F23:H36"/>
    </sheetView>
  </sheetViews>
  <sheetFormatPr defaultColWidth="20.140625" defaultRowHeight="14.25" x14ac:dyDescent="0.2"/>
  <cols>
    <col min="1" max="1" width="20.140625" style="1"/>
    <col min="2" max="2" width="30.140625" style="1" customWidth="1"/>
    <col min="3" max="3" width="31.85546875" style="1" customWidth="1"/>
    <col min="4" max="4" width="23.28515625" style="1" customWidth="1"/>
    <col min="5" max="5" width="20.140625" style="1"/>
    <col min="6" max="6" width="27.28515625" style="1" customWidth="1"/>
    <col min="7" max="7" width="30.28515625" style="1" customWidth="1"/>
    <col min="8" max="8" width="31.140625" style="1" customWidth="1"/>
    <col min="9" max="16384" width="20.140625" style="1"/>
  </cols>
  <sheetData>
    <row r="2" spans="1:11" ht="33.75" x14ac:dyDescent="0.5">
      <c r="A2" s="386" t="s">
        <v>361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5" spans="1:11" x14ac:dyDescent="0.2">
      <c r="B5" s="393" t="str">
        <f>'Параметры Расходы'!A43</f>
        <v>Параметры постоянных расходов</v>
      </c>
      <c r="C5" s="393"/>
      <c r="D5" s="393"/>
    </row>
    <row r="6" spans="1:11" ht="15" x14ac:dyDescent="0.25">
      <c r="B6" s="252" t="str">
        <f>'Параметры Расходы'!A44</f>
        <v>Статья расходов</v>
      </c>
      <c r="C6" s="253" t="str">
        <f>'Параметры Расходы'!B44</f>
        <v>Единица измерения</v>
      </c>
      <c r="D6" s="217" t="str">
        <f>'Параметры Расходы'!C44</f>
        <v>Значение в месяц</v>
      </c>
    </row>
    <row r="7" spans="1:11" x14ac:dyDescent="0.2">
      <c r="B7" s="243" t="str">
        <f>'Параметры Расходы'!A45</f>
        <v>Заработная плата</v>
      </c>
      <c r="C7" s="239" t="str">
        <f>'Параметры Расходы'!B45</f>
        <v>на весь персонал</v>
      </c>
      <c r="D7" s="187">
        <f>'Параметры Расходы'!C45</f>
        <v>6206690.9199999999</v>
      </c>
    </row>
    <row r="8" spans="1:11" x14ac:dyDescent="0.2">
      <c r="B8" s="243" t="str">
        <f>'Параметры Расходы'!A46</f>
        <v>Аренда</v>
      </c>
      <c r="C8" s="239" t="str">
        <f>'Параметры Расходы'!B46</f>
        <v>руб. в мес.</v>
      </c>
      <c r="D8" s="187">
        <f>'Параметры Расходы'!C46</f>
        <v>606719</v>
      </c>
    </row>
    <row r="9" spans="1:11" x14ac:dyDescent="0.2">
      <c r="B9" s="243" t="str">
        <f>'Параметры Расходы'!A47</f>
        <v>Энергия</v>
      </c>
      <c r="C9" s="239" t="str">
        <f>'Параметры Расходы'!B47</f>
        <v>руб. в мес.</v>
      </c>
      <c r="D9" s="187">
        <f>'Параметры Расходы'!C47</f>
        <v>37527.46</v>
      </c>
    </row>
    <row r="10" spans="1:11" x14ac:dyDescent="0.2">
      <c r="B10" s="243" t="str">
        <f>'Параметры Расходы'!A48</f>
        <v>Вода</v>
      </c>
      <c r="C10" s="239" t="str">
        <f>'Параметры Расходы'!B48</f>
        <v>руб. в мес.</v>
      </c>
      <c r="D10" s="187">
        <f>'Параметры Расходы'!C48</f>
        <v>452.01</v>
      </c>
    </row>
    <row r="11" spans="1:11" x14ac:dyDescent="0.2">
      <c r="B11" s="243" t="str">
        <f>'Параметры Расходы'!A49</f>
        <v>Вывоз ТБО</v>
      </c>
      <c r="C11" s="239" t="str">
        <f>'Параметры Расходы'!B49</f>
        <v>руб. в мес.</v>
      </c>
      <c r="D11" s="187">
        <f>'Параметры Расходы'!C49</f>
        <v>1156.58</v>
      </c>
    </row>
    <row r="12" spans="1:11" x14ac:dyDescent="0.2">
      <c r="B12" s="243" t="str">
        <f>'Параметры Расходы'!A50</f>
        <v>Хозяйственные расходы</v>
      </c>
      <c r="C12" s="239" t="str">
        <f>'Параметры Расходы'!B50</f>
        <v>руб. в мес.</v>
      </c>
      <c r="D12" s="187">
        <f>'Параметры Расходы'!C50</f>
        <v>9000</v>
      </c>
    </row>
    <row r="13" spans="1:11" x14ac:dyDescent="0.2">
      <c r="B13" s="243" t="str">
        <f>'Параметры Расходы'!A51</f>
        <v>Канцелярские расходы</v>
      </c>
      <c r="C13" s="239" t="str">
        <f>'Параметры Расходы'!B51</f>
        <v>руб. в мес.</v>
      </c>
      <c r="D13" s="187">
        <f>'Параметры Расходы'!C51</f>
        <v>9000</v>
      </c>
    </row>
    <row r="14" spans="1:11" x14ac:dyDescent="0.2">
      <c r="B14" s="243" t="str">
        <f>'Параметры Расходы'!A52</f>
        <v>Интернет</v>
      </c>
      <c r="C14" s="239" t="str">
        <f>'Параметры Расходы'!B52</f>
        <v>руб. в мес.</v>
      </c>
      <c r="D14" s="187">
        <f>'Параметры Расходы'!C52</f>
        <v>9000</v>
      </c>
    </row>
    <row r="15" spans="1:11" x14ac:dyDescent="0.2">
      <c r="B15" s="243" t="str">
        <f>'Параметры Расходы'!A53</f>
        <v>Телефон</v>
      </c>
      <c r="C15" s="239" t="str">
        <f>'Параметры Расходы'!B53</f>
        <v>руб. в мес.</v>
      </c>
      <c r="D15" s="187">
        <f>'Параметры Расходы'!C53</f>
        <v>9000</v>
      </c>
    </row>
    <row r="16" spans="1:11" x14ac:dyDescent="0.2">
      <c r="B16" s="243" t="str">
        <f>'Параметры Расходы'!A54</f>
        <v>Программное обеспечение</v>
      </c>
      <c r="C16" s="239" t="str">
        <f>'Параметры Расходы'!B54</f>
        <v>руб. в мес.</v>
      </c>
      <c r="D16" s="187">
        <f>'Параметры Расходы'!C54</f>
        <v>9000</v>
      </c>
    </row>
    <row r="17" spans="2:8" x14ac:dyDescent="0.2">
      <c r="B17" s="243" t="str">
        <f>'Параметры Расходы'!A55</f>
        <v>Маркетинг и реклама</v>
      </c>
      <c r="C17" s="239" t="str">
        <f>'Параметры Расходы'!B55</f>
        <v>1 % от постоянных расходов</v>
      </c>
      <c r="D17" s="187">
        <f>'Параметры Расходы'!C55</f>
        <v>68975.459699999992</v>
      </c>
    </row>
    <row r="18" spans="2:8" x14ac:dyDescent="0.2">
      <c r="B18" s="243" t="str">
        <f>'Параметры Расходы'!A56</f>
        <v>Прочие расходы</v>
      </c>
      <c r="C18" s="239" t="str">
        <f>'Параметры Расходы'!B56</f>
        <v>0,5 % от постоянных расходов</v>
      </c>
      <c r="D18" s="187">
        <f>'Параметры Расходы'!C56</f>
        <v>34487.729849999996</v>
      </c>
    </row>
    <row r="21" spans="2:8" s="117" customFormat="1" x14ac:dyDescent="0.2"/>
    <row r="22" spans="2:8" x14ac:dyDescent="0.2">
      <c r="F22" s="394" t="str">
        <f>'Параметры Расходы'!A13</f>
        <v>Постоянные расходы</v>
      </c>
      <c r="G22" s="394"/>
      <c r="H22" s="394"/>
    </row>
    <row r="23" spans="2:8" ht="30" x14ac:dyDescent="0.25">
      <c r="F23" s="259" t="str">
        <f>B6</f>
        <v>Статья расходов</v>
      </c>
      <c r="G23" s="260" t="str">
        <f>'Параметры Расходы'!B4</f>
        <v>Объем расходов при 100% загрузке в квартал</v>
      </c>
      <c r="H23" s="232" t="str">
        <f>'Параметры Расходы'!C4</f>
        <v>Объем расходов при 100% загрузке в год</v>
      </c>
    </row>
    <row r="24" spans="2:8" x14ac:dyDescent="0.2">
      <c r="F24" s="254" t="str">
        <f>'Параметры Расходы'!A14</f>
        <v>Заработная плата</v>
      </c>
      <c r="G24" s="255">
        <f>'Параметры Расходы'!B14</f>
        <v>18620072.759999998</v>
      </c>
      <c r="H24" s="233">
        <f>'Параметры Расходы'!C14</f>
        <v>74480291.039999992</v>
      </c>
    </row>
    <row r="25" spans="2:8" x14ac:dyDescent="0.2">
      <c r="F25" s="254" t="str">
        <f>'Параметры Расходы'!A15</f>
        <v>Аренда</v>
      </c>
      <c r="G25" s="255">
        <f>'Параметры Расходы'!B15</f>
        <v>1820157</v>
      </c>
      <c r="H25" s="233">
        <f>'Параметры Расходы'!C15</f>
        <v>7280628</v>
      </c>
    </row>
    <row r="26" spans="2:8" x14ac:dyDescent="0.2">
      <c r="F26" s="254" t="str">
        <f>'Параметры Расходы'!A16</f>
        <v>Энергия</v>
      </c>
      <c r="G26" s="255">
        <f>'Параметры Расходы'!B16</f>
        <v>112582.38</v>
      </c>
      <c r="H26" s="233">
        <f>'Параметры Расходы'!C16</f>
        <v>450329.52</v>
      </c>
    </row>
    <row r="27" spans="2:8" x14ac:dyDescent="0.2">
      <c r="F27" s="254" t="str">
        <f>'Параметры Расходы'!A17</f>
        <v>Вода</v>
      </c>
      <c r="G27" s="255">
        <f>'Параметры Расходы'!B17</f>
        <v>1356.03</v>
      </c>
      <c r="H27" s="233">
        <f>'Параметры Расходы'!C17</f>
        <v>5424.12</v>
      </c>
    </row>
    <row r="28" spans="2:8" x14ac:dyDescent="0.2">
      <c r="F28" s="254" t="str">
        <f>'Параметры Расходы'!A18</f>
        <v>Вывоз ТБО</v>
      </c>
      <c r="G28" s="255">
        <f>'Параметры Расходы'!B18</f>
        <v>3469.74</v>
      </c>
      <c r="H28" s="233">
        <f>'Параметры Расходы'!C18</f>
        <v>13878.96</v>
      </c>
    </row>
    <row r="29" spans="2:8" x14ac:dyDescent="0.2">
      <c r="F29" s="254" t="str">
        <f>'Параметры Расходы'!A19</f>
        <v>Хозяйственные расходы</v>
      </c>
      <c r="G29" s="255">
        <f>'Параметры Расходы'!B19</f>
        <v>27000</v>
      </c>
      <c r="H29" s="233">
        <f>'Параметры Расходы'!C19</f>
        <v>108000</v>
      </c>
    </row>
    <row r="30" spans="2:8" x14ac:dyDescent="0.2">
      <c r="F30" s="254" t="str">
        <f>'Параметры Расходы'!A20</f>
        <v>Канцелярские расходы</v>
      </c>
      <c r="G30" s="255">
        <f>'Параметры Расходы'!B20</f>
        <v>27000</v>
      </c>
      <c r="H30" s="233">
        <f>'Параметры Расходы'!C20</f>
        <v>108000</v>
      </c>
    </row>
    <row r="31" spans="2:8" x14ac:dyDescent="0.2">
      <c r="F31" s="254" t="str">
        <f>'Параметры Расходы'!A21</f>
        <v>Интернет</v>
      </c>
      <c r="G31" s="255">
        <f>'Параметры Расходы'!B21</f>
        <v>27000</v>
      </c>
      <c r="H31" s="233">
        <f>'Параметры Расходы'!C21</f>
        <v>108000</v>
      </c>
    </row>
    <row r="32" spans="2:8" x14ac:dyDescent="0.2">
      <c r="F32" s="254" t="str">
        <f>'Параметры Расходы'!A22</f>
        <v>Телефон</v>
      </c>
      <c r="G32" s="255">
        <f>'Параметры Расходы'!B22</f>
        <v>27000</v>
      </c>
      <c r="H32" s="233">
        <f>'Параметры Расходы'!C22</f>
        <v>108000</v>
      </c>
    </row>
    <row r="33" spans="6:8" ht="16.5" customHeight="1" x14ac:dyDescent="0.2">
      <c r="F33" s="254" t="str">
        <f>'Параметры Расходы'!A23</f>
        <v>Программное обеспечение</v>
      </c>
      <c r="G33" s="255">
        <f>'Параметры Расходы'!B23</f>
        <v>27000</v>
      </c>
      <c r="H33" s="233">
        <f>'Параметры Расходы'!C23</f>
        <v>108000</v>
      </c>
    </row>
    <row r="34" spans="6:8" x14ac:dyDescent="0.2">
      <c r="F34" s="254" t="str">
        <f>'Параметры Расходы'!A24</f>
        <v>Маркетинг и реклама</v>
      </c>
      <c r="G34" s="255">
        <f>'Параметры Расходы'!B24</f>
        <v>206926.37909999996</v>
      </c>
      <c r="H34" s="233">
        <f>'Параметры Расходы'!C24</f>
        <v>827705.51639999985</v>
      </c>
    </row>
    <row r="35" spans="6:8" x14ac:dyDescent="0.2">
      <c r="F35" s="254" t="str">
        <f>'Параметры Расходы'!A25</f>
        <v>Прочие расходы</v>
      </c>
      <c r="G35" s="255">
        <f>'Параметры Расходы'!B25</f>
        <v>103463.18954999998</v>
      </c>
      <c r="H35" s="233">
        <f>'Параметры Расходы'!C25</f>
        <v>413852.75819999992</v>
      </c>
    </row>
    <row r="36" spans="6:8" ht="15" x14ac:dyDescent="0.25">
      <c r="F36" s="256" t="str">
        <f>'Параметры Расходы'!A26</f>
        <v>Итого</v>
      </c>
      <c r="G36" s="257">
        <f>'Параметры Расходы'!B26</f>
        <v>21003027.478649996</v>
      </c>
      <c r="H36" s="258">
        <f>'Параметры Расходы'!C26</f>
        <v>84012109.914599985</v>
      </c>
    </row>
    <row r="38" spans="6:8" s="117" customFormat="1" x14ac:dyDescent="0.2"/>
  </sheetData>
  <mergeCells count="3">
    <mergeCell ref="A2:K2"/>
    <mergeCell ref="B5:D5"/>
    <mergeCell ref="F22:H2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2:O32"/>
  <sheetViews>
    <sheetView workbookViewId="0">
      <selection activeCell="F6" sqref="F6"/>
    </sheetView>
  </sheetViews>
  <sheetFormatPr defaultColWidth="20.140625" defaultRowHeight="14.25" x14ac:dyDescent="0.2"/>
  <cols>
    <col min="1" max="1" width="20.140625" style="1"/>
    <col min="2" max="2" width="25.42578125" style="1" customWidth="1"/>
    <col min="3" max="7" width="12.5703125" style="1" customWidth="1"/>
    <col min="8" max="8" width="31.140625" style="1" customWidth="1"/>
    <col min="9" max="9" width="25.7109375" style="1" customWidth="1"/>
    <col min="10" max="15" width="11.42578125" style="1" customWidth="1"/>
    <col min="16" max="16384" width="20.140625" style="1"/>
  </cols>
  <sheetData>
    <row r="2" spans="1:15" ht="33.75" x14ac:dyDescent="0.5">
      <c r="A2" s="386" t="s">
        <v>363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3" spans="1:15" ht="16.5" customHeight="1" x14ac:dyDescent="0.5">
      <c r="A3" s="302"/>
      <c r="B3" s="302"/>
      <c r="C3" s="302"/>
      <c r="D3" s="302"/>
      <c r="E3" s="302"/>
      <c r="F3" s="302"/>
      <c r="G3" s="302"/>
      <c r="H3" s="302"/>
      <c r="I3" s="302"/>
      <c r="J3" s="302"/>
      <c r="K3" s="302"/>
    </row>
    <row r="4" spans="1:15" x14ac:dyDescent="0.2">
      <c r="C4" s="391" t="s">
        <v>34</v>
      </c>
      <c r="D4" s="391"/>
      <c r="E4" s="391"/>
      <c r="F4" s="391"/>
    </row>
    <row r="5" spans="1:15" ht="15" x14ac:dyDescent="0.25">
      <c r="B5" s="252" t="s">
        <v>210</v>
      </c>
      <c r="C5" s="253" t="str">
        <f>'Параметры Расходы'!F4</f>
        <v>1 кв.</v>
      </c>
      <c r="D5" s="253" t="str">
        <f>'Параметры Расходы'!G4</f>
        <v>2 кв.</v>
      </c>
      <c r="E5" s="253" t="str">
        <f>'Параметры Расходы'!H4</f>
        <v>3 кв.</v>
      </c>
      <c r="F5" s="253" t="str">
        <f>'Параметры Расходы'!I4</f>
        <v>4 кв.</v>
      </c>
      <c r="G5" s="217" t="s">
        <v>7</v>
      </c>
      <c r="I5" s="252" t="str">
        <f>B29</f>
        <v>Прогноз расходов</v>
      </c>
      <c r="J5" s="253" t="str">
        <f>C4</f>
        <v>1 год</v>
      </c>
      <c r="K5" s="253" t="str">
        <f>C10</f>
        <v>2 год</v>
      </c>
      <c r="L5" s="253" t="str">
        <f>C16</f>
        <v>3 год</v>
      </c>
      <c r="M5" s="253" t="str">
        <f>C22</f>
        <v>4 год</v>
      </c>
      <c r="N5" s="253" t="str">
        <f>C28</f>
        <v>5 год</v>
      </c>
      <c r="O5" s="217" t="s">
        <v>7</v>
      </c>
    </row>
    <row r="6" spans="1:15" ht="15" x14ac:dyDescent="0.25">
      <c r="B6" s="243" t="str">
        <f>'Параметры Расходы'!A5</f>
        <v>Переменные расходы</v>
      </c>
      <c r="C6" s="239">
        <f>'Параметры Расходы'!F9</f>
        <v>0</v>
      </c>
      <c r="D6" s="239">
        <f>'Параметры Расходы'!G9</f>
        <v>19523494.800000001</v>
      </c>
      <c r="E6" s="239">
        <f>'Параметры Расходы'!H9</f>
        <v>22777410.600000001</v>
      </c>
      <c r="F6" s="239">
        <f>'Параметры Расходы'!I9</f>
        <v>26031326.399999999</v>
      </c>
      <c r="G6" s="178">
        <f>SUM(C6:F6)</f>
        <v>68332231.800000012</v>
      </c>
      <c r="I6" s="243" t="str">
        <f>B30</f>
        <v>Переменные расходы</v>
      </c>
      <c r="J6" s="201">
        <f>G6</f>
        <v>68332231.800000012</v>
      </c>
      <c r="K6" s="201">
        <f>G12</f>
        <v>126902716.2</v>
      </c>
      <c r="L6" s="201">
        <f>G18</f>
        <v>130156632</v>
      </c>
      <c r="M6" s="201">
        <f>G24</f>
        <v>130156632</v>
      </c>
      <c r="N6" s="201">
        <f>G30</f>
        <v>130156632</v>
      </c>
      <c r="O6" s="204">
        <f>SUM(J6:N6)</f>
        <v>585704844</v>
      </c>
    </row>
    <row r="7" spans="1:15" ht="15" x14ac:dyDescent="0.25">
      <c r="B7" s="243" t="str">
        <f>'Параметры Расходы'!A13</f>
        <v>Постоянные расходы</v>
      </c>
      <c r="C7" s="239">
        <f>'Параметры Расходы'!F26</f>
        <v>5980028.6571156234</v>
      </c>
      <c r="D7" s="239">
        <f>'Параметры Расходы'!G26</f>
        <v>19406532.984343752</v>
      </c>
      <c r="E7" s="239">
        <f>'Параметры Расходы'!H26</f>
        <v>21003027.478649996</v>
      </c>
      <c r="F7" s="239">
        <f>'Параметры Расходы'!I26</f>
        <v>21003027.478649996</v>
      </c>
      <c r="G7" s="178">
        <f t="shared" ref="G7:G8" si="0">SUM(C7:F7)</f>
        <v>67392616.598759368</v>
      </c>
      <c r="I7" s="243" t="str">
        <f>B31</f>
        <v>Постоянные расходы</v>
      </c>
      <c r="J7" s="201">
        <f t="shared" ref="J7:J8" si="1">G7</f>
        <v>67392616.598759368</v>
      </c>
      <c r="K7" s="201">
        <f t="shared" ref="K7:K8" si="2">G13</f>
        <v>84012109.914599985</v>
      </c>
      <c r="L7" s="201">
        <f t="shared" ref="L7:L8" si="3">G19</f>
        <v>84012109.914599985</v>
      </c>
      <c r="M7" s="201">
        <f t="shared" ref="M7:M8" si="4">G25</f>
        <v>84012109.914599985</v>
      </c>
      <c r="N7" s="201">
        <f t="shared" ref="N7:N8" si="5">G31</f>
        <v>84012109.914599985</v>
      </c>
      <c r="O7" s="204">
        <f t="shared" ref="O7:O8" si="6">SUM(J7:N7)</f>
        <v>403441056.25715935</v>
      </c>
    </row>
    <row r="8" spans="1:15" ht="15" x14ac:dyDescent="0.25">
      <c r="B8" s="261" t="s">
        <v>7</v>
      </c>
      <c r="C8" s="198">
        <f>SUM(C6:C7)</f>
        <v>5980028.6571156234</v>
      </c>
      <c r="D8" s="198">
        <f t="shared" ref="D8:F8" si="7">SUM(D6:D7)</f>
        <v>38930027.784343749</v>
      </c>
      <c r="E8" s="198">
        <f t="shared" si="7"/>
        <v>43780438.078649998</v>
      </c>
      <c r="F8" s="198">
        <f t="shared" si="7"/>
        <v>47034353.878649995</v>
      </c>
      <c r="G8" s="178">
        <f t="shared" si="0"/>
        <v>135724848.39875937</v>
      </c>
      <c r="I8" s="261" t="str">
        <f>B32</f>
        <v>Итого</v>
      </c>
      <c r="J8" s="203">
        <f t="shared" si="1"/>
        <v>135724848.39875937</v>
      </c>
      <c r="K8" s="203">
        <f t="shared" si="2"/>
        <v>210914826.1146</v>
      </c>
      <c r="L8" s="203">
        <f t="shared" si="3"/>
        <v>214168741.91459998</v>
      </c>
      <c r="M8" s="203">
        <f t="shared" si="4"/>
        <v>214168741.91459998</v>
      </c>
      <c r="N8" s="203">
        <f t="shared" si="5"/>
        <v>214168741.91459998</v>
      </c>
      <c r="O8" s="204">
        <f t="shared" si="6"/>
        <v>989145900.25715935</v>
      </c>
    </row>
    <row r="10" spans="1:15" x14ac:dyDescent="0.2">
      <c r="C10" s="391" t="s">
        <v>35</v>
      </c>
      <c r="D10" s="391"/>
      <c r="E10" s="391"/>
      <c r="F10" s="391"/>
    </row>
    <row r="11" spans="1:15" ht="15" x14ac:dyDescent="0.25">
      <c r="B11" s="252" t="str">
        <f>B5</f>
        <v>Прогноз расходов</v>
      </c>
      <c r="C11" s="253" t="str">
        <f>'Параметры Расходы'!J4</f>
        <v>5 кв.</v>
      </c>
      <c r="D11" s="253" t="str">
        <f>'Параметры Расходы'!K4</f>
        <v>6 кв.</v>
      </c>
      <c r="E11" s="253" t="str">
        <f>'Параметры Расходы'!L4</f>
        <v>7 кв.</v>
      </c>
      <c r="F11" s="253" t="str">
        <f>'Параметры Расходы'!M4</f>
        <v>8 кв.</v>
      </c>
      <c r="G11" s="217" t="str">
        <f>G5</f>
        <v>Итого</v>
      </c>
    </row>
    <row r="12" spans="1:15" ht="15" x14ac:dyDescent="0.25">
      <c r="B12" s="243" t="str">
        <f t="shared" ref="B12:B14" si="8">B6</f>
        <v>Переменные расходы</v>
      </c>
      <c r="C12" s="239">
        <f>'Параметры Расходы'!J9</f>
        <v>29285242.199999999</v>
      </c>
      <c r="D12" s="239">
        <f>'Параметры Расходы'!K9</f>
        <v>32539158</v>
      </c>
      <c r="E12" s="239">
        <f>'Параметры Расходы'!L9</f>
        <v>32539158</v>
      </c>
      <c r="F12" s="239">
        <f>'Параметры Расходы'!M9</f>
        <v>32539158</v>
      </c>
      <c r="G12" s="178">
        <f>SUM(C12:F12)</f>
        <v>126902716.2</v>
      </c>
    </row>
    <row r="13" spans="1:15" ht="15" x14ac:dyDescent="0.25">
      <c r="B13" s="243" t="str">
        <f t="shared" si="8"/>
        <v>Постоянные расходы</v>
      </c>
      <c r="C13" s="239">
        <f>'Параметры Расходы'!J26</f>
        <v>21003027.478649996</v>
      </c>
      <c r="D13" s="239">
        <f>'Параметры Расходы'!K26</f>
        <v>21003027.478649996</v>
      </c>
      <c r="E13" s="239">
        <f>'Параметры Расходы'!L26</f>
        <v>21003027.478649996</v>
      </c>
      <c r="F13" s="239">
        <f>'Параметры Расходы'!M26</f>
        <v>21003027.478649996</v>
      </c>
      <c r="G13" s="178">
        <f t="shared" ref="G13:G14" si="9">SUM(C13:F13)</f>
        <v>84012109.914599985</v>
      </c>
    </row>
    <row r="14" spans="1:15" ht="15" x14ac:dyDescent="0.25">
      <c r="B14" s="261" t="str">
        <f t="shared" si="8"/>
        <v>Итого</v>
      </c>
      <c r="C14" s="198">
        <f>SUM(C12:C13)</f>
        <v>50288269.678649992</v>
      </c>
      <c r="D14" s="198">
        <f t="shared" ref="D14:F14" si="10">SUM(D12:D13)</f>
        <v>53542185.478649996</v>
      </c>
      <c r="E14" s="198">
        <f t="shared" si="10"/>
        <v>53542185.478649996</v>
      </c>
      <c r="F14" s="198">
        <f t="shared" si="10"/>
        <v>53542185.478649996</v>
      </c>
      <c r="G14" s="178">
        <f t="shared" si="9"/>
        <v>210914826.1146</v>
      </c>
    </row>
    <row r="16" spans="1:15" x14ac:dyDescent="0.2">
      <c r="C16" s="391" t="s">
        <v>36</v>
      </c>
      <c r="D16" s="391"/>
      <c r="E16" s="391"/>
      <c r="F16" s="391"/>
    </row>
    <row r="17" spans="2:7" ht="15" x14ac:dyDescent="0.25">
      <c r="B17" s="252" t="str">
        <f>B11</f>
        <v>Прогноз расходов</v>
      </c>
      <c r="C17" s="253" t="str">
        <f>'Параметры Расходы'!N4</f>
        <v>9 кв.</v>
      </c>
      <c r="D17" s="253" t="str">
        <f>'Параметры Расходы'!O4</f>
        <v>10 кв.</v>
      </c>
      <c r="E17" s="253" t="str">
        <f>'Параметры Расходы'!P4</f>
        <v>11 кв.</v>
      </c>
      <c r="F17" s="253" t="str">
        <f>'Параметры Расходы'!Q4</f>
        <v>12 кв.</v>
      </c>
      <c r="G17" s="217" t="s">
        <v>7</v>
      </c>
    </row>
    <row r="18" spans="2:7" ht="15" x14ac:dyDescent="0.25">
      <c r="B18" s="243" t="str">
        <f t="shared" ref="B18:B20" si="11">B12</f>
        <v>Переменные расходы</v>
      </c>
      <c r="C18" s="239">
        <f>'Параметры Расходы'!N9</f>
        <v>32539158</v>
      </c>
      <c r="D18" s="239">
        <f>'Параметры Расходы'!O9</f>
        <v>32539158</v>
      </c>
      <c r="E18" s="239">
        <f>'Параметры Расходы'!P9</f>
        <v>32539158</v>
      </c>
      <c r="F18" s="239">
        <f>'Параметры Расходы'!Q9</f>
        <v>32539158</v>
      </c>
      <c r="G18" s="178">
        <f>SUM(C18:F18)</f>
        <v>130156632</v>
      </c>
    </row>
    <row r="19" spans="2:7" ht="15" x14ac:dyDescent="0.25">
      <c r="B19" s="243" t="str">
        <f t="shared" si="11"/>
        <v>Постоянные расходы</v>
      </c>
      <c r="C19" s="239">
        <f>'Параметры Расходы'!N26</f>
        <v>21003027.478649996</v>
      </c>
      <c r="D19" s="239">
        <f>'Параметры Расходы'!O26</f>
        <v>21003027.478649996</v>
      </c>
      <c r="E19" s="239">
        <f>'Параметры Расходы'!P26</f>
        <v>21003027.478649996</v>
      </c>
      <c r="F19" s="239">
        <f>'Параметры Расходы'!Q26</f>
        <v>21003027.478649996</v>
      </c>
      <c r="G19" s="178">
        <f t="shared" ref="G19:G20" si="12">SUM(C19:F19)</f>
        <v>84012109.914599985</v>
      </c>
    </row>
    <row r="20" spans="2:7" ht="15" x14ac:dyDescent="0.25">
      <c r="B20" s="261" t="str">
        <f t="shared" si="11"/>
        <v>Итого</v>
      </c>
      <c r="C20" s="198">
        <f>SUM(C18:C19)</f>
        <v>53542185.478649996</v>
      </c>
      <c r="D20" s="198">
        <f t="shared" ref="D20:F20" si="13">SUM(D18:D19)</f>
        <v>53542185.478649996</v>
      </c>
      <c r="E20" s="198">
        <f t="shared" si="13"/>
        <v>53542185.478649996</v>
      </c>
      <c r="F20" s="198">
        <f t="shared" si="13"/>
        <v>53542185.478649996</v>
      </c>
      <c r="G20" s="178">
        <f t="shared" si="12"/>
        <v>214168741.91459998</v>
      </c>
    </row>
    <row r="22" spans="2:7" x14ac:dyDescent="0.2">
      <c r="C22" s="395" t="s">
        <v>37</v>
      </c>
      <c r="D22" s="395"/>
      <c r="E22" s="395"/>
      <c r="F22" s="395"/>
    </row>
    <row r="23" spans="2:7" ht="15" x14ac:dyDescent="0.25">
      <c r="B23" s="252" t="str">
        <f>B17</f>
        <v>Прогноз расходов</v>
      </c>
      <c r="C23" s="253" t="str">
        <f>'Параметры Расходы'!R4</f>
        <v>13 кв.</v>
      </c>
      <c r="D23" s="253" t="str">
        <f>'Параметры Расходы'!S4</f>
        <v>14 кв.</v>
      </c>
      <c r="E23" s="253" t="str">
        <f>'Параметры Расходы'!T4</f>
        <v>15 кв.</v>
      </c>
      <c r="F23" s="253" t="str">
        <f>'Параметры Расходы'!U4</f>
        <v>16 кв.</v>
      </c>
      <c r="G23" s="217" t="str">
        <f>G17</f>
        <v>Итого</v>
      </c>
    </row>
    <row r="24" spans="2:7" ht="15" x14ac:dyDescent="0.25">
      <c r="B24" s="243" t="str">
        <f t="shared" ref="B24:B26" si="14">B18</f>
        <v>Переменные расходы</v>
      </c>
      <c r="C24" s="239">
        <f>'Параметры Расходы'!R9</f>
        <v>32539158</v>
      </c>
      <c r="D24" s="239">
        <f>'Параметры Расходы'!S9</f>
        <v>32539158</v>
      </c>
      <c r="E24" s="239">
        <f>'Параметры Расходы'!T9</f>
        <v>32539158</v>
      </c>
      <c r="F24" s="239">
        <f>'Параметры Расходы'!U9</f>
        <v>32539158</v>
      </c>
      <c r="G24" s="178">
        <f>SUM(C24:F24)</f>
        <v>130156632</v>
      </c>
    </row>
    <row r="25" spans="2:7" ht="15" x14ac:dyDescent="0.25">
      <c r="B25" s="243" t="str">
        <f t="shared" si="14"/>
        <v>Постоянные расходы</v>
      </c>
      <c r="C25" s="239">
        <f>'Параметры Расходы'!R26</f>
        <v>21003027.478649996</v>
      </c>
      <c r="D25" s="239">
        <f>'Параметры Расходы'!S26</f>
        <v>21003027.478649996</v>
      </c>
      <c r="E25" s="239">
        <f>'Параметры Расходы'!T26</f>
        <v>21003027.478649996</v>
      </c>
      <c r="F25" s="239">
        <f>'Параметры Расходы'!U26</f>
        <v>21003027.478649996</v>
      </c>
      <c r="G25" s="178">
        <f t="shared" ref="G25:G26" si="15">SUM(C25:F25)</f>
        <v>84012109.914599985</v>
      </c>
    </row>
    <row r="26" spans="2:7" ht="15" x14ac:dyDescent="0.25">
      <c r="B26" s="261" t="str">
        <f t="shared" si="14"/>
        <v>Итого</v>
      </c>
      <c r="C26" s="198">
        <f>SUM(C24:C25)</f>
        <v>53542185.478649996</v>
      </c>
      <c r="D26" s="198">
        <f t="shared" ref="D26:F26" si="16">SUM(D24:D25)</f>
        <v>53542185.478649996</v>
      </c>
      <c r="E26" s="198">
        <f t="shared" si="16"/>
        <v>53542185.478649996</v>
      </c>
      <c r="F26" s="198">
        <f t="shared" si="16"/>
        <v>53542185.478649996</v>
      </c>
      <c r="G26" s="178">
        <f t="shared" si="15"/>
        <v>214168741.91459998</v>
      </c>
    </row>
    <row r="28" spans="2:7" x14ac:dyDescent="0.2">
      <c r="C28" s="391" t="s">
        <v>38</v>
      </c>
      <c r="D28" s="391"/>
      <c r="E28" s="391"/>
      <c r="F28" s="391"/>
    </row>
    <row r="29" spans="2:7" ht="15" x14ac:dyDescent="0.25">
      <c r="B29" s="252" t="str">
        <f>B23</f>
        <v>Прогноз расходов</v>
      </c>
      <c r="C29" s="253" t="str">
        <f>'Параметры Расходы'!V4</f>
        <v>17 кв.</v>
      </c>
      <c r="D29" s="253" t="str">
        <f>'Параметры Расходы'!W4</f>
        <v>18 кв.</v>
      </c>
      <c r="E29" s="253" t="str">
        <f>'Параметры Расходы'!X4</f>
        <v>19 кв.</v>
      </c>
      <c r="F29" s="253" t="str">
        <f>'Параметры Расходы'!Y4</f>
        <v>20 кв.</v>
      </c>
      <c r="G29" s="217" t="str">
        <f>G23</f>
        <v>Итого</v>
      </c>
    </row>
    <row r="30" spans="2:7" ht="15" x14ac:dyDescent="0.25">
      <c r="B30" s="243" t="str">
        <f t="shared" ref="B30:B32" si="17">B24</f>
        <v>Переменные расходы</v>
      </c>
      <c r="C30" s="239">
        <f>'Параметры Расходы'!V9</f>
        <v>32539158</v>
      </c>
      <c r="D30" s="239">
        <f>'Параметры Расходы'!W9</f>
        <v>32539158</v>
      </c>
      <c r="E30" s="239">
        <f>'Параметры Расходы'!X9</f>
        <v>32539158</v>
      </c>
      <c r="F30" s="239">
        <f>'Параметры Расходы'!Y9</f>
        <v>32539158</v>
      </c>
      <c r="G30" s="178">
        <f>SUM(C30:F30)</f>
        <v>130156632</v>
      </c>
    </row>
    <row r="31" spans="2:7" ht="15" x14ac:dyDescent="0.25">
      <c r="B31" s="243" t="str">
        <f t="shared" si="17"/>
        <v>Постоянные расходы</v>
      </c>
      <c r="C31" s="239">
        <f>'Параметры Расходы'!V26</f>
        <v>21003027.478649996</v>
      </c>
      <c r="D31" s="239">
        <f>'Параметры Расходы'!W26</f>
        <v>21003027.478649996</v>
      </c>
      <c r="E31" s="239">
        <f>'Параметры Расходы'!X26</f>
        <v>21003027.478649996</v>
      </c>
      <c r="F31" s="239">
        <f>'Параметры Расходы'!Y26</f>
        <v>21003027.478649996</v>
      </c>
      <c r="G31" s="178">
        <f t="shared" ref="G31:G32" si="18">SUM(C31:F31)</f>
        <v>84012109.914599985</v>
      </c>
    </row>
    <row r="32" spans="2:7" ht="15" x14ac:dyDescent="0.25">
      <c r="B32" s="261" t="str">
        <f t="shared" si="17"/>
        <v>Итого</v>
      </c>
      <c r="C32" s="198">
        <f>SUM(C30:C31)</f>
        <v>53542185.478649996</v>
      </c>
      <c r="D32" s="198">
        <f t="shared" ref="D32:F32" si="19">SUM(D30:D31)</f>
        <v>53542185.478649996</v>
      </c>
      <c r="E32" s="198">
        <f t="shared" si="19"/>
        <v>53542185.478649996</v>
      </c>
      <c r="F32" s="198">
        <f t="shared" si="19"/>
        <v>53542185.478649996</v>
      </c>
      <c r="G32" s="178">
        <f t="shared" si="18"/>
        <v>214168741.91459998</v>
      </c>
    </row>
  </sheetData>
  <mergeCells count="6">
    <mergeCell ref="C28:F28"/>
    <mergeCell ref="A2:K2"/>
    <mergeCell ref="C4:F4"/>
    <mergeCell ref="C10:F10"/>
    <mergeCell ref="C16:F16"/>
    <mergeCell ref="C22:F22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-0.249977111117893"/>
  </sheetPr>
  <dimension ref="A2:K2"/>
  <sheetViews>
    <sheetView workbookViewId="0">
      <selection activeCell="L57" sqref="L57"/>
    </sheetView>
  </sheetViews>
  <sheetFormatPr defaultColWidth="20.140625" defaultRowHeight="14.25" x14ac:dyDescent="0.2"/>
  <cols>
    <col min="1" max="42" width="14.140625" style="1" customWidth="1"/>
    <col min="43" max="16384" width="20.140625" style="1"/>
  </cols>
  <sheetData>
    <row r="2" spans="1:11" ht="33.75" x14ac:dyDescent="0.5">
      <c r="A2" s="386" t="s">
        <v>364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</sheetData>
  <mergeCells count="1">
    <mergeCell ref="A2:K2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-0.249977111117893"/>
  </sheetPr>
  <dimension ref="A2:K10"/>
  <sheetViews>
    <sheetView topLeftCell="A19" workbookViewId="0">
      <selection activeCell="M44" sqref="M44"/>
    </sheetView>
  </sheetViews>
  <sheetFormatPr defaultRowHeight="14.25" x14ac:dyDescent="0.2"/>
  <cols>
    <col min="1" max="1" width="9.140625" style="1"/>
    <col min="2" max="2" width="21" style="1" bestFit="1" customWidth="1"/>
    <col min="3" max="3" width="8.140625" style="1" bestFit="1" customWidth="1"/>
    <col min="4" max="4" width="24.7109375" style="1" bestFit="1" customWidth="1"/>
    <col min="5" max="5" width="15.85546875" style="1" bestFit="1" customWidth="1"/>
    <col min="6" max="6" width="14.5703125" style="1" bestFit="1" customWidth="1"/>
    <col min="7" max="8" width="9.140625" style="1"/>
    <col min="9" max="9" width="25.85546875" style="1" customWidth="1"/>
    <col min="10" max="10" width="20.140625" style="1" customWidth="1"/>
    <col min="11" max="16384" width="9.140625" style="1"/>
  </cols>
  <sheetData>
    <row r="2" spans="1:11" ht="33.75" x14ac:dyDescent="0.5">
      <c r="A2" s="386" t="s">
        <v>365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5" spans="1:11" ht="30" x14ac:dyDescent="0.25">
      <c r="B5" s="199" t="str">
        <f>'Параметы Налоги'!A17</f>
        <v>Налоги</v>
      </c>
      <c r="C5" s="231" t="str">
        <f>'Параметы Налоги'!B17</f>
        <v>Ставка</v>
      </c>
      <c r="D5" s="231" t="str">
        <f>'Параметы Налоги'!C17</f>
        <v>База</v>
      </c>
      <c r="E5" s="231" t="str">
        <f>'Параметы Налоги'!D17</f>
        <v>Когда</v>
      </c>
      <c r="F5" s="232" t="str">
        <f>'Параметы Налоги'!E17</f>
        <v>Квартальная ставка</v>
      </c>
      <c r="I5" s="199" t="s">
        <v>133</v>
      </c>
      <c r="J5" s="200" t="s">
        <v>366</v>
      </c>
    </row>
    <row r="6" spans="1:11" x14ac:dyDescent="0.2">
      <c r="B6" s="184" t="str">
        <f>'Параметы Налоги'!A18</f>
        <v>Налог на прибыль</v>
      </c>
      <c r="C6" s="262">
        <f>'Параметы Налоги'!B18</f>
        <v>0.2</v>
      </c>
      <c r="D6" s="264" t="str">
        <f>'Параметы Налоги'!C18</f>
        <v>От прибыли</v>
      </c>
      <c r="E6" s="230" t="str">
        <f>'Параметы Налоги'!D18</f>
        <v>ежеквартально</v>
      </c>
      <c r="F6" s="228">
        <f>'Параметы Налоги'!E18</f>
        <v>0.2</v>
      </c>
      <c r="I6" s="184" t="str">
        <f>'Параметы Налоги'!AB5</f>
        <v>Налог на прибыль</v>
      </c>
      <c r="J6" s="187">
        <f>'Параметы Налоги'!AC5</f>
        <v>7894234.0465900041</v>
      </c>
    </row>
    <row r="7" spans="1:11" x14ac:dyDescent="0.2">
      <c r="B7" s="184" t="str">
        <f>'Параметы Налоги'!A19</f>
        <v>Налог на имущество</v>
      </c>
      <c r="C7" s="262">
        <f>'Параметы Налоги'!B19</f>
        <v>2.1999999999999999E-2</v>
      </c>
      <c r="D7" s="264" t="str">
        <f>'Параметы Налоги'!C19</f>
        <v>От имущества на балансе</v>
      </c>
      <c r="E7" s="230" t="str">
        <f>'Параметы Налоги'!D19</f>
        <v>раз в год</v>
      </c>
      <c r="F7" s="263">
        <f>'Параметы Налоги'!E19</f>
        <v>5.4999999999999997E-3</v>
      </c>
      <c r="I7" s="184" t="str">
        <f>'Параметы Налоги'!AB6</f>
        <v>Налог на имущество</v>
      </c>
      <c r="J7" s="187">
        <f>'Параметы Налоги'!AC6</f>
        <v>75186.771550000005</v>
      </c>
    </row>
    <row r="8" spans="1:11" x14ac:dyDescent="0.2">
      <c r="B8" s="184" t="str">
        <f>'Параметы Налоги'!A20</f>
        <v>НДС</v>
      </c>
      <c r="C8" s="262">
        <f>'Параметы Налоги'!B20</f>
        <v>0.2</v>
      </c>
      <c r="D8" s="264"/>
      <c r="E8" s="230" t="str">
        <f>'Параметы Налоги'!D20</f>
        <v>ежеквартально</v>
      </c>
      <c r="F8" s="228">
        <f>'Параметы Налоги'!E20</f>
        <v>0.2</v>
      </c>
      <c r="I8" s="184" t="str">
        <f>'Параметы Налоги'!AB7</f>
        <v>НДС</v>
      </c>
      <c r="J8" s="187">
        <f>'Параметы Налоги'!AC7</f>
        <v>8585209.6809</v>
      </c>
    </row>
    <row r="9" spans="1:11" x14ac:dyDescent="0.2">
      <c r="B9" s="184" t="str">
        <f>'Параметы Налоги'!A21</f>
        <v>Налог на землю</v>
      </c>
      <c r="C9" s="262">
        <f>'Параметы Налоги'!B21</f>
        <v>1.4999999999999999E-2</v>
      </c>
      <c r="D9" s="264"/>
      <c r="E9" s="230" t="str">
        <f>'Параметы Налоги'!D21</f>
        <v>раз в год</v>
      </c>
      <c r="F9" s="263">
        <f>'Параметы Налоги'!E21</f>
        <v>3.7499999999999999E-3</v>
      </c>
      <c r="I9" s="184" t="str">
        <f>'Параметы Налоги'!AB8</f>
        <v>Налог на землю</v>
      </c>
      <c r="J9" s="187">
        <f>'Параметы Налоги'!AC8</f>
        <v>0</v>
      </c>
    </row>
    <row r="10" spans="1:11" ht="15" x14ac:dyDescent="0.25">
      <c r="I10" s="197" t="str">
        <f>'Параметы Налоги'!AB9</f>
        <v>Итого</v>
      </c>
      <c r="J10" s="178">
        <f>'Параметы Налоги'!AC9</f>
        <v>16554630.499040004</v>
      </c>
    </row>
  </sheetData>
  <mergeCells count="1">
    <mergeCell ref="A2:K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9" tint="-0.249977111117893"/>
  </sheetPr>
  <dimension ref="A2:S52"/>
  <sheetViews>
    <sheetView topLeftCell="B1" workbookViewId="0">
      <selection activeCell="N45" sqref="N45:S52"/>
    </sheetView>
  </sheetViews>
  <sheetFormatPr defaultRowHeight="14.25" x14ac:dyDescent="0.2"/>
  <cols>
    <col min="1" max="2" width="9.140625" style="1"/>
    <col min="3" max="3" width="32.42578125" style="1" customWidth="1"/>
    <col min="4" max="4" width="10.85546875" style="1" customWidth="1"/>
    <col min="5" max="6" width="9.140625" style="1"/>
    <col min="7" max="7" width="35" style="1" customWidth="1"/>
    <col min="8" max="11" width="11.5703125" style="1" customWidth="1"/>
    <col min="12" max="13" width="9.140625" style="1"/>
    <col min="14" max="14" width="33.42578125" style="1" customWidth="1"/>
    <col min="15" max="19" width="11.7109375" style="1" customWidth="1"/>
    <col min="20" max="16384" width="9.140625" style="1"/>
  </cols>
  <sheetData>
    <row r="2" spans="1:19" ht="33.75" x14ac:dyDescent="0.5">
      <c r="A2" s="386" t="s">
        <v>367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3" spans="1:19" x14ac:dyDescent="0.2">
      <c r="H3" s="396" t="s">
        <v>34</v>
      </c>
      <c r="I3" s="396"/>
      <c r="J3" s="396"/>
      <c r="K3" s="396"/>
    </row>
    <row r="4" spans="1:19" s="265" customFormat="1" ht="11.25" x14ac:dyDescent="0.2">
      <c r="C4" s="279" t="str">
        <f t="shared" ref="C4:C29" si="0">G4</f>
        <v>Операционная деятельность</v>
      </c>
      <c r="D4" s="279" t="s">
        <v>369</v>
      </c>
      <c r="G4" s="279" t="str">
        <f t="shared" ref="G4:G29" si="1">N4</f>
        <v>Операционная деятельность</v>
      </c>
      <c r="H4" s="279" t="str">
        <f>ОДДС!F4</f>
        <v>1 кв.</v>
      </c>
      <c r="I4" s="279" t="str">
        <f>ОДДС!G4</f>
        <v>2 кв.</v>
      </c>
      <c r="J4" s="279" t="str">
        <f>ОДДС!H4</f>
        <v>3 кв.</v>
      </c>
      <c r="K4" s="279" t="str">
        <f>ОДДС!I4</f>
        <v>4 кв.</v>
      </c>
      <c r="N4" s="278" t="str">
        <f>ОДДС!A4</f>
        <v>Операционная деятельность</v>
      </c>
      <c r="O4" s="278" t="str">
        <f>ОДДС!F3</f>
        <v>1 год</v>
      </c>
      <c r="P4" s="278" t="str">
        <f>ОДДС!J3</f>
        <v>2 год</v>
      </c>
      <c r="Q4" s="278" t="str">
        <f>ОДДС!N3</f>
        <v>3 год</v>
      </c>
      <c r="R4" s="278" t="str">
        <f>ОДДС!R3</f>
        <v>4 год</v>
      </c>
      <c r="S4" s="278" t="str">
        <f>ОДДС!V3</f>
        <v>5 год</v>
      </c>
    </row>
    <row r="5" spans="1:19" s="273" customFormat="1" ht="11.25" x14ac:dyDescent="0.2">
      <c r="C5" s="273" t="str">
        <f t="shared" si="0"/>
        <v>Доход с продаж</v>
      </c>
      <c r="D5" s="274">
        <f>ОДДС!Z5</f>
        <v>1195560000</v>
      </c>
      <c r="G5" s="273" t="str">
        <f t="shared" si="1"/>
        <v>Доход с продаж</v>
      </c>
      <c r="H5" s="274">
        <f>ОДДС!F5</f>
        <v>0</v>
      </c>
      <c r="I5" s="274">
        <f>ОДДС!G5</f>
        <v>39852000</v>
      </c>
      <c r="J5" s="274">
        <f>ОДДС!H5</f>
        <v>46494000</v>
      </c>
      <c r="K5" s="274">
        <f>ОДДС!I5</f>
        <v>53136000</v>
      </c>
      <c r="N5" s="273" t="str">
        <f>ОДДС!A5</f>
        <v>Доход с продаж</v>
      </c>
      <c r="O5" s="274">
        <f>SUM(ОДДС!F5:I5)</f>
        <v>139482000</v>
      </c>
      <c r="P5" s="274">
        <f>SUM(ОДДС!J5:M5)</f>
        <v>259038000</v>
      </c>
      <c r="Q5" s="274">
        <f>SUM(ОДДС!N5:Q5)</f>
        <v>265680000</v>
      </c>
      <c r="R5" s="274">
        <f>SUM(ОДДС!R5:U5)</f>
        <v>265680000</v>
      </c>
      <c r="S5" s="274">
        <f>SUM(ОДДС!V5:Y5)</f>
        <v>265680000</v>
      </c>
    </row>
    <row r="6" spans="1:19" s="275" customFormat="1" ht="11.25" x14ac:dyDescent="0.2">
      <c r="C6" s="276" t="str">
        <f t="shared" si="0"/>
        <v>Печь "ХЛЕБОПЕЧКА"</v>
      </c>
      <c r="D6" s="277">
        <f>ОДДС!Z6</f>
        <v>1195560000</v>
      </c>
      <c r="G6" s="276" t="str">
        <f t="shared" si="1"/>
        <v>Печь "ХЛЕБОПЕЧКА"</v>
      </c>
      <c r="H6" s="277">
        <f>ОДДС!F6</f>
        <v>0</v>
      </c>
      <c r="I6" s="277">
        <f>ОДДС!G6</f>
        <v>39852000</v>
      </c>
      <c r="J6" s="277">
        <f>ОДДС!H6</f>
        <v>46494000</v>
      </c>
      <c r="K6" s="277">
        <f>ОДДС!I6</f>
        <v>53136000</v>
      </c>
      <c r="N6" s="276" t="str">
        <f>ОДДС!A6</f>
        <v>Печь "ХЛЕБОПЕЧКА"</v>
      </c>
      <c r="O6" s="277">
        <f>SUM(ОДДС!F6:I6)</f>
        <v>139482000</v>
      </c>
      <c r="P6" s="277">
        <f>SUM(ОДДС!J6:M6)</f>
        <v>259038000</v>
      </c>
      <c r="Q6" s="277">
        <f>SUM(ОДДС!N6:Q6)</f>
        <v>265680000</v>
      </c>
      <c r="R6" s="277">
        <f>SUM(ОДДС!R6:U6)</f>
        <v>265680000</v>
      </c>
      <c r="S6" s="277">
        <f>SUM(ОДДС!V6:Y6)</f>
        <v>265680000</v>
      </c>
    </row>
    <row r="7" spans="1:19" s="275" customFormat="1" ht="11.25" hidden="1" x14ac:dyDescent="0.2">
      <c r="C7" s="276">
        <f t="shared" si="0"/>
        <v>0</v>
      </c>
      <c r="D7" s="277">
        <f>ОДДС!Z7</f>
        <v>0</v>
      </c>
      <c r="G7" s="276">
        <f t="shared" si="1"/>
        <v>0</v>
      </c>
      <c r="H7" s="277">
        <f>ОДДС!F7</f>
        <v>0</v>
      </c>
      <c r="I7" s="277">
        <f>ОДДС!G7</f>
        <v>0</v>
      </c>
      <c r="J7" s="277">
        <f>ОДДС!H7</f>
        <v>0</v>
      </c>
      <c r="K7" s="277">
        <f>ОДДС!I7</f>
        <v>0</v>
      </c>
      <c r="N7" s="276">
        <f>ОДДС!A7</f>
        <v>0</v>
      </c>
      <c r="O7" s="277">
        <f>SUM(ОДДС!F7:I7)</f>
        <v>0</v>
      </c>
      <c r="P7" s="277">
        <f>SUM(ОДДС!J7:M7)</f>
        <v>0</v>
      </c>
      <c r="Q7" s="277">
        <f>SUM(ОДДС!N7:Q7)</f>
        <v>0</v>
      </c>
      <c r="R7" s="277">
        <f>SUM(ОДДС!R7:U7)</f>
        <v>0</v>
      </c>
      <c r="S7" s="277">
        <f>SUM(ОДДС!V7:Y7)</f>
        <v>0</v>
      </c>
    </row>
    <row r="8" spans="1:19" s="275" customFormat="1" ht="11.25" hidden="1" x14ac:dyDescent="0.2">
      <c r="C8" s="276">
        <f t="shared" si="0"/>
        <v>0</v>
      </c>
      <c r="D8" s="277">
        <f>ОДДС!Z8</f>
        <v>0</v>
      </c>
      <c r="G8" s="276">
        <f t="shared" si="1"/>
        <v>0</v>
      </c>
      <c r="H8" s="277">
        <f>ОДДС!F8</f>
        <v>0</v>
      </c>
      <c r="I8" s="277">
        <f>ОДДС!G8</f>
        <v>0</v>
      </c>
      <c r="J8" s="277">
        <f>ОДДС!H8</f>
        <v>0</v>
      </c>
      <c r="K8" s="277">
        <f>ОДДС!I8</f>
        <v>0</v>
      </c>
      <c r="N8" s="276">
        <f>ОДДС!A8</f>
        <v>0</v>
      </c>
      <c r="O8" s="277">
        <f>SUM(ОДДС!F8:I8)</f>
        <v>0</v>
      </c>
      <c r="P8" s="277">
        <f>SUM(ОДДС!J8:M8)</f>
        <v>0</v>
      </c>
      <c r="Q8" s="277">
        <f>SUM(ОДДС!N8:Q8)</f>
        <v>0</v>
      </c>
      <c r="R8" s="277">
        <f>SUM(ОДДС!R8:U8)</f>
        <v>0</v>
      </c>
      <c r="S8" s="277">
        <f>SUM(ОДДС!V8:Y8)</f>
        <v>0</v>
      </c>
    </row>
    <row r="9" spans="1:19" s="273" customFormat="1" ht="11.25" x14ac:dyDescent="0.2">
      <c r="C9" s="273" t="str">
        <f t="shared" si="0"/>
        <v>Прогноз расходов</v>
      </c>
      <c r="D9" s="274">
        <f>ОДДС!Z9</f>
        <v>1054557809.3373293</v>
      </c>
      <c r="G9" s="273" t="str">
        <f t="shared" si="1"/>
        <v>Прогноз расходов</v>
      </c>
      <c r="H9" s="274">
        <f>ОДДС!F9</f>
        <v>5143647.2782630194</v>
      </c>
      <c r="I9" s="274">
        <f>ОДДС!G9</f>
        <v>39161192.388561457</v>
      </c>
      <c r="J9" s="274">
        <f>ОДДС!H9</f>
        <v>44391538.641424999</v>
      </c>
      <c r="K9" s="274">
        <f>ОДДС!I9</f>
        <v>48707793.274559997</v>
      </c>
      <c r="N9" s="273" t="str">
        <f>ОДДС!A9</f>
        <v>Прогноз расходов</v>
      </c>
      <c r="O9" s="274">
        <f>SUM(ОДДС!F9:I9)</f>
        <v>137404171.58280948</v>
      </c>
      <c r="P9" s="274">
        <f>SUM(ОДДС!J9:M9)</f>
        <v>225409169.01243997</v>
      </c>
      <c r="Q9" s="274">
        <f>SUM(ОДДС!N9:Q9)</f>
        <v>230238241.34615999</v>
      </c>
      <c r="R9" s="274">
        <f>SUM(ОДДС!R9:U9)</f>
        <v>230782854.98227999</v>
      </c>
      <c r="S9" s="274">
        <f>SUM(ОДДС!V9:Y9)</f>
        <v>230723372.41363999</v>
      </c>
    </row>
    <row r="10" spans="1:19" s="275" customFormat="1" ht="11.25" x14ac:dyDescent="0.2">
      <c r="C10" s="276" t="str">
        <f t="shared" si="0"/>
        <v>Прогноз переменных расходов</v>
      </c>
      <c r="D10" s="277">
        <f>ОДДС!Z10</f>
        <v>585704844</v>
      </c>
      <c r="G10" s="276" t="str">
        <f t="shared" si="1"/>
        <v>Прогноз переменных расходов</v>
      </c>
      <c r="H10" s="277">
        <f>ОДДС!F10</f>
        <v>0</v>
      </c>
      <c r="I10" s="277">
        <f>ОДДС!G10</f>
        <v>19523494.800000001</v>
      </c>
      <c r="J10" s="277">
        <f>ОДДС!H10</f>
        <v>22777410.600000001</v>
      </c>
      <c r="K10" s="277">
        <f>ОДДС!I10</f>
        <v>26031326.399999999</v>
      </c>
      <c r="N10" s="276" t="str">
        <f>ОДДС!A10</f>
        <v>Прогноз переменных расходов</v>
      </c>
      <c r="O10" s="277">
        <f>SUM(ОДДС!F10:I10)</f>
        <v>68332231.800000012</v>
      </c>
      <c r="P10" s="277">
        <f>SUM(ОДДС!J10:M10)</f>
        <v>126902716.2</v>
      </c>
      <c r="Q10" s="277">
        <f>SUM(ОДДС!N10:Q10)</f>
        <v>130156632</v>
      </c>
      <c r="R10" s="277">
        <f>SUM(ОДДС!R10:U10)</f>
        <v>130156632</v>
      </c>
      <c r="S10" s="277">
        <f>SUM(ОДДС!V10:Y10)</f>
        <v>130156632</v>
      </c>
    </row>
    <row r="11" spans="1:19" s="275" customFormat="1" ht="11.25" x14ac:dyDescent="0.2">
      <c r="C11" s="276" t="str">
        <f t="shared" si="0"/>
        <v>Печь "ХЛЕБОПЕЧКА"</v>
      </c>
      <c r="D11" s="277">
        <f>ОДДС!Z11</f>
        <v>585704844</v>
      </c>
      <c r="G11" s="276" t="str">
        <f t="shared" si="1"/>
        <v>Печь "ХЛЕБОПЕЧКА"</v>
      </c>
      <c r="H11" s="277">
        <f>ОДДС!F11</f>
        <v>0</v>
      </c>
      <c r="I11" s="277">
        <f>ОДДС!G11</f>
        <v>19523494.800000001</v>
      </c>
      <c r="J11" s="277">
        <f>ОДДС!H11</f>
        <v>22777410.600000001</v>
      </c>
      <c r="K11" s="277">
        <f>ОДДС!I11</f>
        <v>26031326.399999999</v>
      </c>
      <c r="N11" s="276" t="str">
        <f>ОДДС!A11</f>
        <v>Печь "ХЛЕБОПЕЧКА"</v>
      </c>
      <c r="O11" s="277">
        <f>SUM(ОДДС!F11:I11)</f>
        <v>68332231.800000012</v>
      </c>
      <c r="P11" s="277">
        <f>SUM(ОДДС!J11:M11)</f>
        <v>126902716.2</v>
      </c>
      <c r="Q11" s="277">
        <f>SUM(ОДДС!N11:Q11)</f>
        <v>130156632</v>
      </c>
      <c r="R11" s="277">
        <f>SUM(ОДДС!R11:U11)</f>
        <v>130156632</v>
      </c>
      <c r="S11" s="277">
        <f>SUM(ОДДС!V11:Y11)</f>
        <v>130156632</v>
      </c>
    </row>
    <row r="12" spans="1:19" s="275" customFormat="1" ht="11.25" hidden="1" x14ac:dyDescent="0.2">
      <c r="C12" s="276">
        <f t="shared" si="0"/>
        <v>0</v>
      </c>
      <c r="D12" s="277">
        <f>ОДДС!Z12</f>
        <v>0</v>
      </c>
      <c r="G12" s="276">
        <f t="shared" si="1"/>
        <v>0</v>
      </c>
      <c r="H12" s="277">
        <f>ОДДС!F12</f>
        <v>0</v>
      </c>
      <c r="I12" s="277">
        <f>ОДДС!G12</f>
        <v>0</v>
      </c>
      <c r="J12" s="277">
        <f>ОДДС!H12</f>
        <v>0</v>
      </c>
      <c r="K12" s="277">
        <f>ОДДС!I12</f>
        <v>0</v>
      </c>
      <c r="N12" s="276">
        <f>ОДДС!A12</f>
        <v>0</v>
      </c>
      <c r="O12" s="277">
        <f>SUM(ОДДС!F12:I12)</f>
        <v>0</v>
      </c>
      <c r="P12" s="277">
        <f>SUM(ОДДС!J12:M12)</f>
        <v>0</v>
      </c>
      <c r="Q12" s="277">
        <f>SUM(ОДДС!N12:Q12)</f>
        <v>0</v>
      </c>
      <c r="R12" s="277">
        <f>SUM(ОДДС!R12:U12)</f>
        <v>0</v>
      </c>
      <c r="S12" s="277">
        <f>SUM(ОДДС!V12:Y12)</f>
        <v>0</v>
      </c>
    </row>
    <row r="13" spans="1:19" s="275" customFormat="1" ht="11.25" hidden="1" x14ac:dyDescent="0.2">
      <c r="C13" s="276">
        <f t="shared" si="0"/>
        <v>0</v>
      </c>
      <c r="D13" s="277">
        <f>ОДДС!Z13</f>
        <v>0</v>
      </c>
      <c r="G13" s="276">
        <f t="shared" si="1"/>
        <v>0</v>
      </c>
      <c r="H13" s="277">
        <f>ОДДС!F13</f>
        <v>0</v>
      </c>
      <c r="I13" s="277">
        <f>ОДДС!G13</f>
        <v>0</v>
      </c>
      <c r="J13" s="277">
        <f>ОДДС!H13</f>
        <v>0</v>
      </c>
      <c r="K13" s="277">
        <f>ОДДС!I13</f>
        <v>0</v>
      </c>
      <c r="N13" s="276">
        <f>ОДДС!A13</f>
        <v>0</v>
      </c>
      <c r="O13" s="277">
        <f>SUM(ОДДС!F13:I13)</f>
        <v>0</v>
      </c>
      <c r="P13" s="277">
        <f>SUM(ОДДС!J13:M13)</f>
        <v>0</v>
      </c>
      <c r="Q13" s="277">
        <f>SUM(ОДДС!N13:Q13)</f>
        <v>0</v>
      </c>
      <c r="R13" s="277">
        <f>SUM(ОДДС!R13:U13)</f>
        <v>0</v>
      </c>
      <c r="S13" s="277">
        <f>SUM(ОДДС!V13:Y13)</f>
        <v>0</v>
      </c>
    </row>
    <row r="14" spans="1:19" s="275" customFormat="1" ht="11.25" x14ac:dyDescent="0.2">
      <c r="C14" s="276" t="str">
        <f t="shared" si="0"/>
        <v>Прогноз постоянных расходов</v>
      </c>
      <c r="D14" s="277">
        <f>ОДДС!Z14</f>
        <v>403441056.25715923</v>
      </c>
      <c r="G14" s="276" t="str">
        <f t="shared" si="1"/>
        <v>Прогноз постоянных расходов</v>
      </c>
      <c r="H14" s="277">
        <f>ОДДС!F14</f>
        <v>5980028.6571156234</v>
      </c>
      <c r="I14" s="277">
        <f>ОДДС!G14</f>
        <v>19406532.984343752</v>
      </c>
      <c r="J14" s="277">
        <f>ОДДС!H14</f>
        <v>21003027.478649996</v>
      </c>
      <c r="K14" s="277">
        <f>ОДДС!I14</f>
        <v>21003027.478649996</v>
      </c>
      <c r="N14" s="276" t="str">
        <f>ОДДС!A14</f>
        <v>Прогноз постоянных расходов</v>
      </c>
      <c r="O14" s="277">
        <f>SUM(ОДДС!F14:I14)</f>
        <v>67392616.598759368</v>
      </c>
      <c r="P14" s="277">
        <f>SUM(ОДДС!J14:M14)</f>
        <v>84012109.914599985</v>
      </c>
      <c r="Q14" s="277">
        <f>SUM(ОДДС!N14:Q14)</f>
        <v>84012109.914599985</v>
      </c>
      <c r="R14" s="277">
        <f>SUM(ОДДС!R14:U14)</f>
        <v>84012109.914599985</v>
      </c>
      <c r="S14" s="277">
        <f>SUM(ОДДС!V14:Y14)</f>
        <v>84012109.914599985</v>
      </c>
    </row>
    <row r="15" spans="1:19" s="275" customFormat="1" ht="11.25" x14ac:dyDescent="0.2">
      <c r="C15" s="276" t="str">
        <f t="shared" si="0"/>
        <v>Заработная плата</v>
      </c>
      <c r="D15" s="277">
        <f>ОДДС!Z15</f>
        <v>357660564.26499987</v>
      </c>
      <c r="G15" s="276" t="str">
        <f t="shared" si="1"/>
        <v>Заработная плата</v>
      </c>
      <c r="H15" s="277">
        <f>ОДДС!F15</f>
        <v>5301548.4941666657</v>
      </c>
      <c r="I15" s="277">
        <f>ОДДС!G15</f>
        <v>17197706.090833332</v>
      </c>
      <c r="J15" s="277">
        <f>ОДДС!H15</f>
        <v>18620072.759999998</v>
      </c>
      <c r="K15" s="277">
        <f>ОДДС!I15</f>
        <v>18620072.759999998</v>
      </c>
      <c r="N15" s="276" t="str">
        <f>ОДДС!A15</f>
        <v>Заработная плата</v>
      </c>
      <c r="O15" s="277">
        <f>SUM(ОДДС!F15:I15)</f>
        <v>59739400.104999997</v>
      </c>
      <c r="P15" s="277">
        <f>SUM(ОДДС!J15:M15)</f>
        <v>74480291.039999992</v>
      </c>
      <c r="Q15" s="277">
        <f>SUM(ОДДС!N15:Q15)</f>
        <v>74480291.039999992</v>
      </c>
      <c r="R15" s="277">
        <f>SUM(ОДДС!R15:U15)</f>
        <v>74480291.039999992</v>
      </c>
      <c r="S15" s="277">
        <f>SUM(ОДДС!V15:Y15)</f>
        <v>74480291.039999992</v>
      </c>
    </row>
    <row r="16" spans="1:19" s="275" customFormat="1" ht="11.25" x14ac:dyDescent="0.2">
      <c r="C16" s="276" t="str">
        <f t="shared" si="0"/>
        <v>Аренда</v>
      </c>
      <c r="D16" s="277">
        <f>ОДДС!Z16</f>
        <v>34962182.375</v>
      </c>
      <c r="G16" s="276" t="str">
        <f t="shared" si="1"/>
        <v>Аренда</v>
      </c>
      <c r="H16" s="277">
        <f>ОДДС!F16</f>
        <v>518239.14583333331</v>
      </c>
      <c r="I16" s="277">
        <f>ОДДС!G16</f>
        <v>1681117.2291666667</v>
      </c>
      <c r="J16" s="277">
        <f>ОДДС!H16</f>
        <v>1820157</v>
      </c>
      <c r="K16" s="277">
        <f>ОДДС!I16</f>
        <v>1820157</v>
      </c>
      <c r="N16" s="276" t="str">
        <f>ОДДС!A16</f>
        <v>Аренда</v>
      </c>
      <c r="O16" s="277">
        <f>SUM(ОДДС!F16:I16)</f>
        <v>5839670.375</v>
      </c>
      <c r="P16" s="277">
        <f>SUM(ОДДС!J16:M16)</f>
        <v>7280628</v>
      </c>
      <c r="Q16" s="277">
        <f>SUM(ОДДС!N16:Q16)</f>
        <v>7280628</v>
      </c>
      <c r="R16" s="277">
        <f>SUM(ОДДС!R16:U16)</f>
        <v>7280628</v>
      </c>
      <c r="S16" s="277">
        <f>SUM(ОДДС!V16:Y16)</f>
        <v>7280628</v>
      </c>
    </row>
    <row r="17" spans="3:19" s="275" customFormat="1" ht="11.25" x14ac:dyDescent="0.2">
      <c r="C17" s="276" t="str">
        <f t="shared" si="0"/>
        <v>Энергия</v>
      </c>
      <c r="D17" s="277">
        <f>ОДДС!Z17</f>
        <v>2162519.8824999989</v>
      </c>
      <c r="G17" s="276" t="str">
        <f t="shared" si="1"/>
        <v>Энергия</v>
      </c>
      <c r="H17" s="277">
        <f>ОДДС!F17</f>
        <v>32054.705416666668</v>
      </c>
      <c r="I17" s="277">
        <f>ОДДС!G17</f>
        <v>103982.33708333335</v>
      </c>
      <c r="J17" s="277">
        <f>ОДДС!H17</f>
        <v>112582.38</v>
      </c>
      <c r="K17" s="277">
        <f>ОДДС!I17</f>
        <v>112582.38</v>
      </c>
      <c r="N17" s="276" t="str">
        <f>ОДДС!A17</f>
        <v>Энергия</v>
      </c>
      <c r="O17" s="277">
        <f>SUM(ОДДС!F17:I17)</f>
        <v>361201.80249999999</v>
      </c>
      <c r="P17" s="277">
        <f>SUM(ОДДС!J17:M17)</f>
        <v>450329.52</v>
      </c>
      <c r="Q17" s="277">
        <f>SUM(ОДДС!N17:Q17)</f>
        <v>450329.52</v>
      </c>
      <c r="R17" s="277">
        <f>SUM(ОДДС!R17:U17)</f>
        <v>450329.52</v>
      </c>
      <c r="S17" s="277">
        <f>SUM(ОДДС!V17:Y17)</f>
        <v>450329.52</v>
      </c>
    </row>
    <row r="18" spans="3:19" s="275" customFormat="1" ht="11.25" x14ac:dyDescent="0.2">
      <c r="C18" s="276" t="str">
        <f t="shared" si="0"/>
        <v>Вода</v>
      </c>
      <c r="D18" s="277">
        <f>ОДДС!Z18</f>
        <v>26047.076249999995</v>
      </c>
      <c r="G18" s="276" t="str">
        <f t="shared" si="1"/>
        <v>Вода</v>
      </c>
      <c r="H18" s="277">
        <f>ОДДС!F18</f>
        <v>386.09187499999996</v>
      </c>
      <c r="I18" s="277">
        <f>ОДДС!G18</f>
        <v>1252.444375</v>
      </c>
      <c r="J18" s="277">
        <f>ОДДС!H18</f>
        <v>1356.03</v>
      </c>
      <c r="K18" s="277">
        <f>ОДДС!I18</f>
        <v>1356.03</v>
      </c>
      <c r="N18" s="276" t="str">
        <f>ОДДС!A18</f>
        <v>Вода</v>
      </c>
      <c r="O18" s="277">
        <f>SUM(ОДДС!F18:I18)</f>
        <v>4350.5962499999996</v>
      </c>
      <c r="P18" s="277">
        <f>SUM(ОДДС!J18:M18)</f>
        <v>5424.12</v>
      </c>
      <c r="Q18" s="277">
        <f>SUM(ОДДС!N18:Q18)</f>
        <v>5424.12</v>
      </c>
      <c r="R18" s="277">
        <f>SUM(ОДДС!R18:U18)</f>
        <v>5424.12</v>
      </c>
      <c r="S18" s="277">
        <f>SUM(ОДДС!V18:Y18)</f>
        <v>5424.12</v>
      </c>
    </row>
    <row r="19" spans="3:19" s="275" customFormat="1" ht="11.25" x14ac:dyDescent="0.2">
      <c r="C19" s="276" t="str">
        <f t="shared" si="0"/>
        <v>Вывоз ТБО</v>
      </c>
      <c r="D19" s="277">
        <f>ОДДС!Z19</f>
        <v>66647.922499999971</v>
      </c>
      <c r="G19" s="276" t="str">
        <f t="shared" si="1"/>
        <v>Вывоз ТБО</v>
      </c>
      <c r="H19" s="277">
        <f>ОДДС!F19</f>
        <v>987.91208333333327</v>
      </c>
      <c r="I19" s="277">
        <f>ОДДС!G19</f>
        <v>3204.6904166666668</v>
      </c>
      <c r="J19" s="277">
        <f>ОДДС!H19</f>
        <v>3469.74</v>
      </c>
      <c r="K19" s="277">
        <f>ОДДС!I19</f>
        <v>3469.74</v>
      </c>
      <c r="N19" s="276" t="str">
        <f>ОДДС!A19</f>
        <v>Вывоз ТБО</v>
      </c>
      <c r="O19" s="277">
        <f>SUM(ОДДС!F19:I19)</f>
        <v>11132.0825</v>
      </c>
      <c r="P19" s="277">
        <f>SUM(ОДДС!J19:M19)</f>
        <v>13878.96</v>
      </c>
      <c r="Q19" s="277">
        <f>SUM(ОДДС!N19:Q19)</f>
        <v>13878.96</v>
      </c>
      <c r="R19" s="277">
        <f>SUM(ОДДС!R19:U19)</f>
        <v>13878.96</v>
      </c>
      <c r="S19" s="277">
        <f>SUM(ОДДС!V19:Y19)</f>
        <v>13878.96</v>
      </c>
    </row>
    <row r="20" spans="3:19" s="275" customFormat="1" ht="11.25" x14ac:dyDescent="0.2">
      <c r="C20" s="276" t="str">
        <f t="shared" si="0"/>
        <v>Хозяйственные расходы</v>
      </c>
      <c r="D20" s="277">
        <f>ОДДС!Z20</f>
        <v>518625</v>
      </c>
      <c r="G20" s="276" t="str">
        <f t="shared" si="1"/>
        <v>Хозяйственные расходы</v>
      </c>
      <c r="H20" s="277">
        <f>ОДДС!F20</f>
        <v>7687.5</v>
      </c>
      <c r="I20" s="277">
        <f>ОДДС!G20</f>
        <v>24937.5</v>
      </c>
      <c r="J20" s="277">
        <f>ОДДС!H20</f>
        <v>27000</v>
      </c>
      <c r="K20" s="277">
        <f>ОДДС!I20</f>
        <v>27000</v>
      </c>
      <c r="N20" s="276" t="str">
        <f>ОДДС!A20</f>
        <v>Хозяйственные расходы</v>
      </c>
      <c r="O20" s="277">
        <f>SUM(ОДДС!F20:I20)</f>
        <v>86625</v>
      </c>
      <c r="P20" s="277">
        <f>SUM(ОДДС!J20:M20)</f>
        <v>108000</v>
      </c>
      <c r="Q20" s="277">
        <f>SUM(ОДДС!N20:Q20)</f>
        <v>108000</v>
      </c>
      <c r="R20" s="277">
        <f>SUM(ОДДС!R20:U20)</f>
        <v>108000</v>
      </c>
      <c r="S20" s="277">
        <f>SUM(ОДДС!V20:Y20)</f>
        <v>108000</v>
      </c>
    </row>
    <row r="21" spans="3:19" s="275" customFormat="1" ht="11.25" x14ac:dyDescent="0.2">
      <c r="C21" s="276" t="str">
        <f t="shared" si="0"/>
        <v>Канцелярские расходы</v>
      </c>
      <c r="D21" s="277">
        <f>ОДДС!Z21</f>
        <v>518625</v>
      </c>
      <c r="G21" s="276" t="str">
        <f t="shared" si="1"/>
        <v>Канцелярские расходы</v>
      </c>
      <c r="H21" s="277">
        <f>ОДДС!F21</f>
        <v>7687.5</v>
      </c>
      <c r="I21" s="277">
        <f>ОДДС!G21</f>
        <v>24937.5</v>
      </c>
      <c r="J21" s="277">
        <f>ОДДС!H21</f>
        <v>27000</v>
      </c>
      <c r="K21" s="277">
        <f>ОДДС!I21</f>
        <v>27000</v>
      </c>
      <c r="N21" s="276" t="str">
        <f>ОДДС!A21</f>
        <v>Канцелярские расходы</v>
      </c>
      <c r="O21" s="277">
        <f>SUM(ОДДС!F21:I21)</f>
        <v>86625</v>
      </c>
      <c r="P21" s="277">
        <f>SUM(ОДДС!J21:M21)</f>
        <v>108000</v>
      </c>
      <c r="Q21" s="277">
        <f>SUM(ОДДС!N21:Q21)</f>
        <v>108000</v>
      </c>
      <c r="R21" s="277">
        <f>SUM(ОДДС!R21:U21)</f>
        <v>108000</v>
      </c>
      <c r="S21" s="277">
        <f>SUM(ОДДС!V21:Y21)</f>
        <v>108000</v>
      </c>
    </row>
    <row r="22" spans="3:19" s="275" customFormat="1" ht="11.25" x14ac:dyDescent="0.2">
      <c r="C22" s="276" t="str">
        <f t="shared" si="0"/>
        <v>Интернет</v>
      </c>
      <c r="D22" s="277">
        <f>ОДДС!Z22</f>
        <v>518625</v>
      </c>
      <c r="G22" s="276" t="str">
        <f t="shared" si="1"/>
        <v>Интернет</v>
      </c>
      <c r="H22" s="277">
        <f>ОДДС!F22</f>
        <v>7687.5</v>
      </c>
      <c r="I22" s="277">
        <f>ОДДС!G22</f>
        <v>24937.5</v>
      </c>
      <c r="J22" s="277">
        <f>ОДДС!H22</f>
        <v>27000</v>
      </c>
      <c r="K22" s="277">
        <f>ОДДС!I22</f>
        <v>27000</v>
      </c>
      <c r="N22" s="276" t="str">
        <f>ОДДС!A22</f>
        <v>Интернет</v>
      </c>
      <c r="O22" s="277">
        <f>SUM(ОДДС!F22:I22)</f>
        <v>86625</v>
      </c>
      <c r="P22" s="277">
        <f>SUM(ОДДС!J22:M22)</f>
        <v>108000</v>
      </c>
      <c r="Q22" s="277">
        <f>SUM(ОДДС!N22:Q22)</f>
        <v>108000</v>
      </c>
      <c r="R22" s="277">
        <f>SUM(ОДДС!R22:U22)</f>
        <v>108000</v>
      </c>
      <c r="S22" s="277">
        <f>SUM(ОДДС!V22:Y22)</f>
        <v>108000</v>
      </c>
    </row>
    <row r="23" spans="3:19" s="275" customFormat="1" ht="11.25" x14ac:dyDescent="0.2">
      <c r="C23" s="276" t="str">
        <f t="shared" si="0"/>
        <v>Телефон</v>
      </c>
      <c r="D23" s="277">
        <f>ОДДС!Z23</f>
        <v>518625</v>
      </c>
      <c r="G23" s="276" t="str">
        <f t="shared" si="1"/>
        <v>Телефон</v>
      </c>
      <c r="H23" s="277">
        <f>ОДДС!F23</f>
        <v>7687.5</v>
      </c>
      <c r="I23" s="277">
        <f>ОДДС!G23</f>
        <v>24937.5</v>
      </c>
      <c r="J23" s="277">
        <f>ОДДС!H23</f>
        <v>27000</v>
      </c>
      <c r="K23" s="277">
        <f>ОДДС!I23</f>
        <v>27000</v>
      </c>
      <c r="N23" s="276" t="str">
        <f>ОДДС!A23</f>
        <v>Телефон</v>
      </c>
      <c r="O23" s="277">
        <f>SUM(ОДДС!F23:I23)</f>
        <v>86625</v>
      </c>
      <c r="P23" s="277">
        <f>SUM(ОДДС!J23:M23)</f>
        <v>108000</v>
      </c>
      <c r="Q23" s="277">
        <f>SUM(ОДДС!N23:Q23)</f>
        <v>108000</v>
      </c>
      <c r="R23" s="277">
        <f>SUM(ОДДС!R23:U23)</f>
        <v>108000</v>
      </c>
      <c r="S23" s="277">
        <f>SUM(ОДДС!V23:Y23)</f>
        <v>108000</v>
      </c>
    </row>
    <row r="24" spans="3:19" s="275" customFormat="1" ht="11.25" x14ac:dyDescent="0.2">
      <c r="C24" s="276" t="str">
        <f t="shared" si="0"/>
        <v>Программное обеспечение</v>
      </c>
      <c r="D24" s="277">
        <f>ОДДС!Z24</f>
        <v>518625</v>
      </c>
      <c r="G24" s="276" t="str">
        <f t="shared" si="1"/>
        <v>Программное обеспечение</v>
      </c>
      <c r="H24" s="277">
        <f>ОДДС!F24</f>
        <v>7687.5</v>
      </c>
      <c r="I24" s="277">
        <f>ОДДС!G24</f>
        <v>24937.5</v>
      </c>
      <c r="J24" s="277">
        <f>ОДДС!H24</f>
        <v>27000</v>
      </c>
      <c r="K24" s="277">
        <f>ОДДС!I24</f>
        <v>27000</v>
      </c>
      <c r="N24" s="276" t="str">
        <f>ОДДС!A24</f>
        <v>Программное обеспечение</v>
      </c>
      <c r="O24" s="277">
        <f>SUM(ОДДС!F24:I24)</f>
        <v>86625</v>
      </c>
      <c r="P24" s="277">
        <f>SUM(ОДДС!J24:M24)</f>
        <v>108000</v>
      </c>
      <c r="Q24" s="277">
        <f>SUM(ОДДС!N24:Q24)</f>
        <v>108000</v>
      </c>
      <c r="R24" s="277">
        <f>SUM(ОДДС!R24:U24)</f>
        <v>108000</v>
      </c>
      <c r="S24" s="277">
        <f>SUM(ОДДС!V24:Y24)</f>
        <v>108000</v>
      </c>
    </row>
    <row r="25" spans="3:19" s="275" customFormat="1" ht="11.25" x14ac:dyDescent="0.2">
      <c r="C25" s="276" t="str">
        <f t="shared" si="0"/>
        <v>Маркетинг и реклама</v>
      </c>
      <c r="D25" s="277">
        <f>ОДДС!Z25</f>
        <v>3974710.8652125001</v>
      </c>
      <c r="G25" s="276" t="str">
        <f t="shared" si="1"/>
        <v>Маркетинг и реклама</v>
      </c>
      <c r="H25" s="277">
        <f>ОДДС!F25</f>
        <v>58916.538493749984</v>
      </c>
      <c r="I25" s="277">
        <f>ОДДС!G25</f>
        <v>191119.50291874999</v>
      </c>
      <c r="J25" s="277">
        <f>ОДДС!H25</f>
        <v>206926.37909999996</v>
      </c>
      <c r="K25" s="277">
        <f>ОДДС!I25</f>
        <v>206926.37909999996</v>
      </c>
      <c r="N25" s="276" t="str">
        <f>ОДДС!A25</f>
        <v>Маркетинг и реклама</v>
      </c>
      <c r="O25" s="277">
        <f>SUM(ОДДС!F25:I25)</f>
        <v>663888.79961249989</v>
      </c>
      <c r="P25" s="277">
        <f>SUM(ОДДС!J25:M25)</f>
        <v>827705.51639999985</v>
      </c>
      <c r="Q25" s="277">
        <f>SUM(ОДДС!N25:Q25)</f>
        <v>827705.51639999985</v>
      </c>
      <c r="R25" s="277">
        <f>SUM(ОДДС!R25:U25)</f>
        <v>827705.51639999985</v>
      </c>
      <c r="S25" s="277">
        <f>SUM(ОДДС!V25:Y25)</f>
        <v>827705.51639999985</v>
      </c>
    </row>
    <row r="26" spans="3:19" s="275" customFormat="1" ht="11.25" x14ac:dyDescent="0.2">
      <c r="C26" s="276" t="str">
        <f t="shared" si="0"/>
        <v>Прочие расходы</v>
      </c>
      <c r="D26" s="277">
        <f>ОДДС!Z26</f>
        <v>1995258.870696875</v>
      </c>
      <c r="G26" s="276" t="str">
        <f t="shared" si="1"/>
        <v>Прочие расходы</v>
      </c>
      <c r="H26" s="277">
        <f>ОДДС!F26</f>
        <v>29458.269246874992</v>
      </c>
      <c r="I26" s="277">
        <f>ОДДС!G26</f>
        <v>103463.18954999998</v>
      </c>
      <c r="J26" s="277">
        <f>ОДДС!H26</f>
        <v>103463.18954999998</v>
      </c>
      <c r="K26" s="277">
        <f>ОДДС!I26</f>
        <v>103463.18954999998</v>
      </c>
      <c r="N26" s="276" t="str">
        <f>ОДДС!A26</f>
        <v>Прочие расходы</v>
      </c>
      <c r="O26" s="277">
        <f>SUM(ОДДС!F26:I26)</f>
        <v>339847.83789687493</v>
      </c>
      <c r="P26" s="277">
        <f>SUM(ОДДС!J26:M26)</f>
        <v>413852.75819999992</v>
      </c>
      <c r="Q26" s="277">
        <f>SUM(ОДДС!N26:Q26)</f>
        <v>413852.75819999992</v>
      </c>
      <c r="R26" s="277">
        <f>SUM(ОДДС!R26:U26)</f>
        <v>413852.75819999992</v>
      </c>
      <c r="S26" s="277">
        <f>SUM(ОДДС!V26:Y26)</f>
        <v>413852.75819999992</v>
      </c>
    </row>
    <row r="27" spans="3:19" s="275" customFormat="1" ht="11.25" x14ac:dyDescent="0.2">
      <c r="C27" s="276" t="str">
        <f t="shared" si="0"/>
        <v>Уплата процентов</v>
      </c>
      <c r="D27" s="277">
        <f>ОДДС!Z27</f>
        <v>0</v>
      </c>
      <c r="G27" s="276" t="str">
        <f t="shared" si="1"/>
        <v>Уплата процентов</v>
      </c>
      <c r="H27" s="277">
        <f>ОДДС!F27</f>
        <v>0</v>
      </c>
      <c r="I27" s="277">
        <f>ОДДС!G27</f>
        <v>0</v>
      </c>
      <c r="J27" s="277">
        <f>ОДДС!H27</f>
        <v>0</v>
      </c>
      <c r="K27" s="277">
        <f>ОДДС!I27</f>
        <v>0</v>
      </c>
      <c r="N27" s="276" t="str">
        <f>ОДДС!A27</f>
        <v>Уплата процентов</v>
      </c>
      <c r="O27" s="277">
        <f>SUM(ОДДС!F27:I27)</f>
        <v>0</v>
      </c>
      <c r="P27" s="277">
        <f>SUM(ОДДС!J27:M27)</f>
        <v>0</v>
      </c>
      <c r="Q27" s="277">
        <f>SUM(ОДДС!N27:Q27)</f>
        <v>0</v>
      </c>
      <c r="R27" s="277">
        <f>SUM(ОДДС!R27:U27)</f>
        <v>0</v>
      </c>
      <c r="S27" s="277">
        <f>SUM(ОДДС!V27:Y27)</f>
        <v>0</v>
      </c>
    </row>
    <row r="28" spans="3:19" s="275" customFormat="1" ht="11.25" x14ac:dyDescent="0.2">
      <c r="C28" s="276" t="str">
        <f t="shared" si="0"/>
        <v>Налоги</v>
      </c>
      <c r="D28" s="277">
        <f>ОДДС!Z28</f>
        <v>65411909.080170117</v>
      </c>
      <c r="G28" s="276" t="str">
        <f t="shared" si="1"/>
        <v>Налоги</v>
      </c>
      <c r="H28" s="277">
        <f>ОДДС!F28</f>
        <v>-836381.37885260396</v>
      </c>
      <c r="I28" s="277">
        <f>ОДДС!G28</f>
        <v>231164.60421770721</v>
      </c>
      <c r="J28" s="277">
        <f>ОДДС!H28</f>
        <v>611100.56277499942</v>
      </c>
      <c r="K28" s="277">
        <f>ОДДС!I28</f>
        <v>1673439.3959100014</v>
      </c>
      <c r="N28" s="276" t="str">
        <f>ОДДС!A28</f>
        <v>Налоги</v>
      </c>
      <c r="O28" s="277">
        <f>SUM(ОДДС!F28:I28)</f>
        <v>1679323.1840501041</v>
      </c>
      <c r="P28" s="277">
        <f>SUM(ОДДС!J28:M28)</f>
        <v>14494342.897840004</v>
      </c>
      <c r="Q28" s="277">
        <f>SUM(ОДДС!N28:Q28)</f>
        <v>16069499.431560004</v>
      </c>
      <c r="R28" s="277">
        <f>SUM(ОДДС!R28:U28)</f>
        <v>16614113.067680003</v>
      </c>
      <c r="S28" s="277">
        <f>SUM(ОДДС!V28:Y28)</f>
        <v>16554630.499040004</v>
      </c>
    </row>
    <row r="29" spans="3:19" s="273" customFormat="1" ht="11.25" x14ac:dyDescent="0.2">
      <c r="C29" s="273" t="str">
        <f t="shared" si="0"/>
        <v>Итого по операционной деятельности</v>
      </c>
      <c r="D29" s="274">
        <f>ОДДС!Z29</f>
        <v>141002190.66267058</v>
      </c>
      <c r="G29" s="273" t="str">
        <f t="shared" si="1"/>
        <v>Итого по операционной деятельности</v>
      </c>
      <c r="H29" s="274">
        <f>ОДДС!F29</f>
        <v>-5143647.2782630194</v>
      </c>
      <c r="I29" s="274">
        <f>ОДДС!G29</f>
        <v>690807.6114385426</v>
      </c>
      <c r="J29" s="274">
        <f>ОДДС!H29</f>
        <v>2102461.3585750014</v>
      </c>
      <c r="K29" s="274">
        <f>ОДДС!I29</f>
        <v>4428206.725440003</v>
      </c>
      <c r="N29" s="273" t="str">
        <f>ОДДС!A29</f>
        <v>Итого по операционной деятельности</v>
      </c>
      <c r="O29" s="274">
        <f>SUM(ОДДС!F29:I29)</f>
        <v>2077828.4171905275</v>
      </c>
      <c r="P29" s="274">
        <f>SUM(ОДДС!J29:M29)</f>
        <v>33628830.987560019</v>
      </c>
      <c r="Q29" s="274">
        <f>SUM(ОДДС!N29:Q29)</f>
        <v>35441758.653840013</v>
      </c>
      <c r="R29" s="274">
        <f>SUM(ОДДС!R29:U29)</f>
        <v>34897145.017720014</v>
      </c>
      <c r="S29" s="274">
        <f>SUM(ОДДС!V29:Y29)</f>
        <v>34956627.586360008</v>
      </c>
    </row>
    <row r="30" spans="3:19" s="265" customFormat="1" ht="11.25" x14ac:dyDescent="0.2">
      <c r="D30" s="266"/>
      <c r="H30" s="266"/>
      <c r="I30" s="266"/>
      <c r="J30" s="266"/>
      <c r="K30" s="266"/>
      <c r="O30" s="266"/>
      <c r="P30" s="266"/>
      <c r="Q30" s="266"/>
      <c r="R30" s="266"/>
      <c r="S30" s="266"/>
    </row>
    <row r="31" spans="3:19" s="265" customFormat="1" ht="11.25" x14ac:dyDescent="0.2">
      <c r="C31" s="279" t="str">
        <f t="shared" ref="C31:C43" si="2">G31</f>
        <v>Инвестиционная деятельность</v>
      </c>
      <c r="D31" s="280" t="str">
        <f>D4</f>
        <v>За 5 лет</v>
      </c>
      <c r="G31" s="279" t="str">
        <f t="shared" ref="G31:G43" si="3">N31</f>
        <v>Инвестиционная деятельность</v>
      </c>
      <c r="H31" s="280" t="str">
        <f>H4</f>
        <v>1 кв.</v>
      </c>
      <c r="I31" s="280" t="str">
        <f t="shared" ref="I31:K31" si="4">I4</f>
        <v>2 кв.</v>
      </c>
      <c r="J31" s="280" t="str">
        <f t="shared" si="4"/>
        <v>3 кв.</v>
      </c>
      <c r="K31" s="280" t="str">
        <f t="shared" si="4"/>
        <v>4 кв.</v>
      </c>
      <c r="N31" s="278" t="str">
        <f>ОДДС!A31</f>
        <v>Инвестиционная деятельность</v>
      </c>
      <c r="O31" s="278" t="str">
        <f>O4</f>
        <v>1 год</v>
      </c>
      <c r="P31" s="278" t="str">
        <f t="shared" ref="P31:R31" si="5">P4</f>
        <v>2 год</v>
      </c>
      <c r="Q31" s="278" t="str">
        <f t="shared" si="5"/>
        <v>3 год</v>
      </c>
      <c r="R31" s="278" t="str">
        <f t="shared" si="5"/>
        <v>4 год</v>
      </c>
      <c r="S31" s="278" t="str">
        <f>S4</f>
        <v>5 год</v>
      </c>
    </row>
    <row r="32" spans="3:19" s="265" customFormat="1" ht="11.25" x14ac:dyDescent="0.2">
      <c r="C32" s="265" t="str">
        <f t="shared" si="2"/>
        <v>Вложения учредителей</v>
      </c>
      <c r="D32" s="266">
        <f>ОДДС!Z32</f>
        <v>83017109.636688009</v>
      </c>
      <c r="G32" s="265" t="str">
        <f t="shared" si="3"/>
        <v>Вложения учредителей</v>
      </c>
      <c r="H32" s="266">
        <f>ОДДС!F32</f>
        <v>83017109.636688009</v>
      </c>
      <c r="I32" s="266">
        <f>ОДДС!G32</f>
        <v>0</v>
      </c>
      <c r="J32" s="266">
        <f>ОДДС!H32</f>
        <v>0</v>
      </c>
      <c r="K32" s="266">
        <f>ОДДС!I32</f>
        <v>0</v>
      </c>
      <c r="N32" s="265" t="str">
        <f>ОДДС!A32</f>
        <v>Вложения учредителей</v>
      </c>
      <c r="O32" s="266">
        <f>SUM(ОДДС!F32:I32)</f>
        <v>83017109.636688009</v>
      </c>
      <c r="P32" s="266">
        <f>SUM(ОДДС!J32:M32)</f>
        <v>0</v>
      </c>
      <c r="Q32" s="266">
        <f>SUM(ОДДС!N32:Q32)</f>
        <v>0</v>
      </c>
      <c r="R32" s="266">
        <f>SUM(ОДДС!R32:U32)</f>
        <v>0</v>
      </c>
      <c r="S32" s="266">
        <f>SUM(ОДДС!V32:Y32)</f>
        <v>0</v>
      </c>
    </row>
    <row r="33" spans="3:19" s="265" customFormat="1" ht="11.25" x14ac:dyDescent="0.2">
      <c r="C33" s="265" t="str">
        <f t="shared" si="2"/>
        <v>Инвестиции в бизнес</v>
      </c>
      <c r="D33" s="266">
        <f>ОДДС!Z33</f>
        <v>77873462.358424991</v>
      </c>
      <c r="G33" s="265" t="str">
        <f t="shared" si="3"/>
        <v>Инвестиции в бизнес</v>
      </c>
      <c r="H33" s="266">
        <f>ОДДС!F33</f>
        <v>39711070.189606249</v>
      </c>
      <c r="I33" s="266">
        <f>ОДДС!G33</f>
        <v>38162392.168818742</v>
      </c>
      <c r="J33" s="266">
        <f>ОДДС!H33</f>
        <v>0</v>
      </c>
      <c r="K33" s="266">
        <f>ОДДС!I33</f>
        <v>0</v>
      </c>
      <c r="N33" s="265" t="str">
        <f>ОДДС!A33</f>
        <v>Инвестиции в бизнес</v>
      </c>
      <c r="O33" s="266">
        <f>SUM(ОДДС!F33:I33)</f>
        <v>77873462.358424991</v>
      </c>
      <c r="P33" s="266">
        <f>SUM(ОДДС!J33:M33)</f>
        <v>0</v>
      </c>
      <c r="Q33" s="266">
        <f>SUM(ОДДС!N33:Q33)</f>
        <v>0</v>
      </c>
      <c r="R33" s="266">
        <f>SUM(ОДДС!R33:U33)</f>
        <v>0</v>
      </c>
      <c r="S33" s="266">
        <f>SUM(ОДДС!V33:Y33)</f>
        <v>0</v>
      </c>
    </row>
    <row r="34" spans="3:19" s="275" customFormat="1" ht="11.25" x14ac:dyDescent="0.2">
      <c r="C34" s="275" t="str">
        <f t="shared" si="2"/>
        <v>Депозит по аренде цеха на 6 месяцев</v>
      </c>
      <c r="D34" s="277">
        <f>ОДДС!Z34</f>
        <v>3156600</v>
      </c>
      <c r="G34" s="275" t="str">
        <f t="shared" si="3"/>
        <v>Депозит по аренде цеха на 6 месяцев</v>
      </c>
      <c r="H34" s="277">
        <f>ОДДС!F34</f>
        <v>3156600</v>
      </c>
      <c r="I34" s="277">
        <f>ОДДС!G34</f>
        <v>0</v>
      </c>
      <c r="J34" s="277">
        <f>ОДДС!H34</f>
        <v>0</v>
      </c>
      <c r="K34" s="277">
        <f>ОДДС!I34</f>
        <v>0</v>
      </c>
      <c r="N34" s="275" t="str">
        <f>ОДДС!A34</f>
        <v>Депозит по аренде цеха на 6 месяцев</v>
      </c>
      <c r="O34" s="277">
        <f>SUM(ОДДС!F34:I34)</f>
        <v>3156600</v>
      </c>
      <c r="P34" s="277">
        <f>SUM(ОДДС!J34:M34)</f>
        <v>0</v>
      </c>
      <c r="Q34" s="277">
        <f>SUM(ОДДС!N34:Q34)</f>
        <v>0</v>
      </c>
      <c r="R34" s="277">
        <f>SUM(ОДДС!R34:U34)</f>
        <v>0</v>
      </c>
      <c r="S34" s="277">
        <f>SUM(ОДДС!V34:Y34)</f>
        <v>0</v>
      </c>
    </row>
    <row r="35" spans="3:19" s="275" customFormat="1" ht="11.25" x14ac:dyDescent="0.2">
      <c r="C35" s="275" t="str">
        <f t="shared" si="2"/>
        <v>Депозит по аренде офиса на 3 месяца</v>
      </c>
      <c r="D35" s="277">
        <f>ОДДС!Z35</f>
        <v>241857</v>
      </c>
      <c r="G35" s="275" t="str">
        <f t="shared" si="3"/>
        <v>Депозит по аренде офиса на 3 месяца</v>
      </c>
      <c r="H35" s="277">
        <f>ОДДС!F35</f>
        <v>241857</v>
      </c>
      <c r="I35" s="277">
        <f>ОДДС!G35</f>
        <v>0</v>
      </c>
      <c r="J35" s="277">
        <f>ОДДС!H35</f>
        <v>0</v>
      </c>
      <c r="K35" s="277">
        <f>ОДДС!I35</f>
        <v>0</v>
      </c>
      <c r="N35" s="275" t="str">
        <f>ОДДС!A35</f>
        <v>Депозит по аренде офиса на 3 месяца</v>
      </c>
      <c r="O35" s="277">
        <f>SUM(ОДДС!F35:I35)</f>
        <v>241857</v>
      </c>
      <c r="P35" s="277">
        <f>SUM(ОДДС!J35:M35)</f>
        <v>0</v>
      </c>
      <c r="Q35" s="277">
        <f>SUM(ОДДС!N35:Q35)</f>
        <v>0</v>
      </c>
      <c r="R35" s="277">
        <f>SUM(ОДДС!R35:U35)</f>
        <v>0</v>
      </c>
      <c r="S35" s="277">
        <f>SUM(ОДДС!V35:Y35)</f>
        <v>0</v>
      </c>
    </row>
    <row r="36" spans="3:19" s="275" customFormat="1" ht="11.25" x14ac:dyDescent="0.2">
      <c r="C36" s="275" t="str">
        <f t="shared" si="2"/>
        <v>Расчет инвестиций в цех (оборудование, инструмент, мебель)</v>
      </c>
      <c r="D36" s="277">
        <f>ОДДС!Z36</f>
        <v>14954525</v>
      </c>
      <c r="G36" s="275" t="str">
        <f t="shared" si="3"/>
        <v>Расчет инвестиций в цех (оборудование, инструмент, мебель)</v>
      </c>
      <c r="H36" s="277">
        <f>ОДДС!F36</f>
        <v>14954525</v>
      </c>
      <c r="I36" s="277">
        <f>ОДДС!G36</f>
        <v>0</v>
      </c>
      <c r="J36" s="277">
        <f>ОДДС!H36</f>
        <v>0</v>
      </c>
      <c r="K36" s="277">
        <f>ОДДС!I36</f>
        <v>0</v>
      </c>
      <c r="N36" s="275" t="str">
        <f>ОДДС!A36</f>
        <v>Расчет инвестиций в цех (оборудование, инструмент, мебель)</v>
      </c>
      <c r="O36" s="277">
        <f>SUM(ОДДС!F36:I36)</f>
        <v>14954525</v>
      </c>
      <c r="P36" s="277">
        <f>SUM(ОДДС!J36:M36)</f>
        <v>0</v>
      </c>
      <c r="Q36" s="277">
        <f>SUM(ОДДС!N36:Q36)</f>
        <v>0</v>
      </c>
      <c r="R36" s="277">
        <f>SUM(ОДДС!R36:U36)</f>
        <v>0</v>
      </c>
      <c r="S36" s="277">
        <f>SUM(ОДДС!V36:Y36)</f>
        <v>0</v>
      </c>
    </row>
    <row r="37" spans="3:19" s="275" customFormat="1" ht="11.25" x14ac:dyDescent="0.2">
      <c r="C37" s="275" t="str">
        <f t="shared" si="2"/>
        <v>Покупка автотранспортных средств</v>
      </c>
      <c r="D37" s="277">
        <f>ОДДС!Z37</f>
        <v>13500000</v>
      </c>
      <c r="G37" s="275" t="str">
        <f t="shared" si="3"/>
        <v>Покупка автотранспортных средств</v>
      </c>
      <c r="H37" s="277">
        <f>ОДДС!F37</f>
        <v>6750000</v>
      </c>
      <c r="I37" s="277">
        <f>ОДДС!G37</f>
        <v>6750000</v>
      </c>
      <c r="J37" s="277">
        <f>ОДДС!H37</f>
        <v>0</v>
      </c>
      <c r="K37" s="277">
        <f>ОДДС!I37</f>
        <v>0</v>
      </c>
      <c r="N37" s="275" t="str">
        <f>ОДДС!A37</f>
        <v>Покупка автотранспортных средств</v>
      </c>
      <c r="O37" s="277">
        <f>SUM(ОДДС!F37:I37)</f>
        <v>13500000</v>
      </c>
      <c r="P37" s="277">
        <f>SUM(ОДДС!J37:M37)</f>
        <v>0</v>
      </c>
      <c r="Q37" s="277">
        <f>SUM(ОДДС!N37:Q37)</f>
        <v>0</v>
      </c>
      <c r="R37" s="277">
        <f>SUM(ОДДС!R37:U37)</f>
        <v>0</v>
      </c>
      <c r="S37" s="277">
        <f>SUM(ОДДС!V37:Y37)</f>
        <v>0</v>
      </c>
    </row>
    <row r="38" spans="3:19" s="275" customFormat="1" ht="11.25" x14ac:dyDescent="0.2">
      <c r="C38" s="275" t="str">
        <f t="shared" si="2"/>
        <v>Расчет инвестиций в офис (мебель и оргтехника)</v>
      </c>
      <c r="D38" s="277">
        <f>ОДДС!Z38</f>
        <v>447266</v>
      </c>
      <c r="G38" s="275" t="str">
        <f t="shared" si="3"/>
        <v>Расчет инвестиций в офис (мебель и оргтехника)</v>
      </c>
      <c r="H38" s="277">
        <f>ОДДС!F38</f>
        <v>447266</v>
      </c>
      <c r="I38" s="277">
        <f>ОДДС!G38</f>
        <v>0</v>
      </c>
      <c r="J38" s="277">
        <f>ОДДС!H38</f>
        <v>0</v>
      </c>
      <c r="K38" s="277">
        <f>ОДДС!I38</f>
        <v>0</v>
      </c>
      <c r="N38" s="275" t="str">
        <f>ОДДС!A38</f>
        <v>Расчет инвестиций в офис (мебель и оргтехника)</v>
      </c>
      <c r="O38" s="277">
        <f>SUM(ОДДС!F38:I38)</f>
        <v>447266</v>
      </c>
      <c r="P38" s="277">
        <f>SUM(ОДДС!J38:M38)</f>
        <v>0</v>
      </c>
      <c r="Q38" s="277">
        <f>SUM(ОДДС!N38:Q38)</f>
        <v>0</v>
      </c>
      <c r="R38" s="277">
        <f>SUM(ОДДС!R38:U38)</f>
        <v>0</v>
      </c>
      <c r="S38" s="277">
        <f>SUM(ОДДС!V38:Y38)</f>
        <v>0</v>
      </c>
    </row>
    <row r="39" spans="3:19" s="275" customFormat="1" ht="11.25" x14ac:dyDescent="0.2">
      <c r="C39" s="275" t="str">
        <f t="shared" si="2"/>
        <v>Подготовительные работы</v>
      </c>
      <c r="D39" s="277">
        <f>ОДДС!Z39</f>
        <v>300000</v>
      </c>
      <c r="G39" s="275" t="str">
        <f t="shared" si="3"/>
        <v>Подготовительные работы</v>
      </c>
      <c r="H39" s="277">
        <f>ОДДС!F39</f>
        <v>150000</v>
      </c>
      <c r="I39" s="277">
        <f>ОДДС!G39</f>
        <v>150000</v>
      </c>
      <c r="J39" s="277">
        <f>ОДДС!H39</f>
        <v>0</v>
      </c>
      <c r="K39" s="277">
        <f>ОДДС!I39</f>
        <v>0</v>
      </c>
      <c r="N39" s="275" t="str">
        <f>ОДДС!A39</f>
        <v>Подготовительные работы</v>
      </c>
      <c r="O39" s="277">
        <f>SUM(ОДДС!F39:I39)</f>
        <v>300000</v>
      </c>
      <c r="P39" s="277">
        <f>SUM(ОДДС!J39:M39)</f>
        <v>0</v>
      </c>
      <c r="Q39" s="277">
        <f>SUM(ОДДС!N39:Q39)</f>
        <v>0</v>
      </c>
      <c r="R39" s="277">
        <f>SUM(ОДДС!R39:U39)</f>
        <v>0</v>
      </c>
      <c r="S39" s="277">
        <f>SUM(ОДДС!V39:Y39)</f>
        <v>0</v>
      </c>
    </row>
    <row r="40" spans="3:19" s="275" customFormat="1" ht="11.25" x14ac:dyDescent="0.2">
      <c r="C40" s="275" t="str">
        <f t="shared" si="2"/>
        <v>Маркетинг и реклама</v>
      </c>
      <c r="D40" s="277">
        <f>ОДДС!Z40</f>
        <v>300000</v>
      </c>
      <c r="G40" s="275" t="str">
        <f t="shared" si="3"/>
        <v>Маркетинг и реклама</v>
      </c>
      <c r="H40" s="277">
        <f>ОДДС!F40</f>
        <v>300000</v>
      </c>
      <c r="I40" s="277">
        <f>ОДДС!G40</f>
        <v>0</v>
      </c>
      <c r="J40" s="277">
        <f>ОДДС!H40</f>
        <v>0</v>
      </c>
      <c r="K40" s="277">
        <f>ОДДС!I40</f>
        <v>0</v>
      </c>
      <c r="N40" s="275" t="str">
        <f>ОДДС!A40</f>
        <v>Маркетинг и реклама</v>
      </c>
      <c r="O40" s="277">
        <f>SUM(ОДДС!F40:I40)</f>
        <v>300000</v>
      </c>
      <c r="P40" s="277">
        <f>SUM(ОДДС!J40:M40)</f>
        <v>0</v>
      </c>
      <c r="Q40" s="277">
        <f>SUM(ОДДС!N40:Q40)</f>
        <v>0</v>
      </c>
      <c r="R40" s="277">
        <f>SUM(ОДДС!R40:U40)</f>
        <v>0</v>
      </c>
      <c r="S40" s="277">
        <f>SUM(ОДДС!V40:Y40)</f>
        <v>0</v>
      </c>
    </row>
    <row r="41" spans="3:19" s="275" customFormat="1" ht="11.25" x14ac:dyDescent="0.2">
      <c r="C41" s="275" t="str">
        <f t="shared" si="2"/>
        <v>Прочие, 10% от инвестиций выше</v>
      </c>
      <c r="D41" s="277">
        <f>ОДДС!Z41</f>
        <v>3290024.8000000003</v>
      </c>
      <c r="G41" s="275" t="str">
        <f t="shared" si="3"/>
        <v>Прочие, 10% от инвестиций выше</v>
      </c>
      <c r="H41" s="277">
        <f>ОДДС!F41</f>
        <v>3290024.8000000003</v>
      </c>
      <c r="I41" s="277">
        <f>ОДДС!G41</f>
        <v>0</v>
      </c>
      <c r="J41" s="277">
        <f>ОДДС!H41</f>
        <v>0</v>
      </c>
      <c r="K41" s="277">
        <f>ОДДС!I41</f>
        <v>0</v>
      </c>
      <c r="N41" s="275" t="str">
        <f>ОДДС!A41</f>
        <v>Прочие, 10% от инвестиций выше</v>
      </c>
      <c r="O41" s="277">
        <f>SUM(ОДДС!F41:I41)</f>
        <v>3290024.8000000003</v>
      </c>
      <c r="P41" s="277">
        <f>SUM(ОДДС!J41:M41)</f>
        <v>0</v>
      </c>
      <c r="Q41" s="277">
        <f>SUM(ОДДС!N41:Q41)</f>
        <v>0</v>
      </c>
      <c r="R41" s="277">
        <f>SUM(ОДДС!R41:U41)</f>
        <v>0</v>
      </c>
      <c r="S41" s="277">
        <f>SUM(ОДДС!V41:Y41)</f>
        <v>0</v>
      </c>
    </row>
    <row r="42" spans="3:19" s="275" customFormat="1" ht="11.25" x14ac:dyDescent="0.2">
      <c r="C42" s="275" t="str">
        <f t="shared" si="2"/>
        <v>Оборотный капитал</v>
      </c>
      <c r="D42" s="277">
        <f>ОДДС!Z42</f>
        <v>41683189.558424994</v>
      </c>
      <c r="G42" s="275" t="str">
        <f t="shared" si="3"/>
        <v>Оборотный капитал</v>
      </c>
      <c r="H42" s="277">
        <f>ОДДС!F42</f>
        <v>10420797.389606249</v>
      </c>
      <c r="I42" s="277">
        <f>ОДДС!G42</f>
        <v>31262392.168818746</v>
      </c>
      <c r="J42" s="277">
        <f>ОДДС!H42</f>
        <v>0</v>
      </c>
      <c r="K42" s="277">
        <f>ОДДС!I42</f>
        <v>0</v>
      </c>
      <c r="N42" s="275" t="str">
        <f>ОДДС!A42</f>
        <v>Оборотный капитал</v>
      </c>
      <c r="O42" s="277">
        <f>SUM(ОДДС!F42:I42)</f>
        <v>41683189.558424994</v>
      </c>
      <c r="P42" s="277">
        <f>SUM(ОДДС!J42:M42)</f>
        <v>0</v>
      </c>
      <c r="Q42" s="277">
        <f>SUM(ОДДС!N42:Q42)</f>
        <v>0</v>
      </c>
      <c r="R42" s="277">
        <f>SUM(ОДДС!R42:U42)</f>
        <v>0</v>
      </c>
      <c r="S42" s="277">
        <f>SUM(ОДДС!V42:Y42)</f>
        <v>0</v>
      </c>
    </row>
    <row r="43" spans="3:19" s="273" customFormat="1" ht="11.25" x14ac:dyDescent="0.2">
      <c r="C43" s="273" t="str">
        <f t="shared" si="2"/>
        <v>Итого по инвестиционной деятельности</v>
      </c>
      <c r="D43" s="274">
        <f>ОДДС!Z43</f>
        <v>5143647.2782630175</v>
      </c>
      <c r="G43" s="273" t="str">
        <f t="shared" si="3"/>
        <v>Итого по инвестиционной деятельности</v>
      </c>
      <c r="H43" s="274">
        <f>ОДДС!F43</f>
        <v>43306039.44708176</v>
      </c>
      <c r="I43" s="274">
        <f>ОДДС!G43</f>
        <v>-38162392.168818742</v>
      </c>
      <c r="J43" s="274">
        <f>ОДДС!H43</f>
        <v>0</v>
      </c>
      <c r="K43" s="274">
        <f>ОДДС!I43</f>
        <v>0</v>
      </c>
      <c r="N43" s="273" t="str">
        <f>ОДДС!A43</f>
        <v>Итого по инвестиционной деятельности</v>
      </c>
      <c r="O43" s="274">
        <f>SUM(ОДДС!F43:I43)</f>
        <v>5143647.2782630175</v>
      </c>
      <c r="P43" s="274">
        <f>SUM(ОДДС!J43:M43)</f>
        <v>0</v>
      </c>
      <c r="Q43" s="274">
        <f>SUM(ОДДС!N43:Q43)</f>
        <v>0</v>
      </c>
      <c r="R43" s="274">
        <f>SUM(ОДДС!R43:U43)</f>
        <v>0</v>
      </c>
      <c r="S43" s="274">
        <f>SUM(ОДДС!V43:Y43)</f>
        <v>0</v>
      </c>
    </row>
    <row r="44" spans="3:19" s="265" customFormat="1" ht="11.25" x14ac:dyDescent="0.2">
      <c r="D44" s="266"/>
      <c r="H44" s="266"/>
      <c r="I44" s="266"/>
      <c r="J44" s="266"/>
      <c r="K44" s="266"/>
      <c r="O44" s="266"/>
      <c r="P44" s="266"/>
      <c r="Q44" s="266"/>
      <c r="R44" s="266"/>
      <c r="S44" s="266"/>
    </row>
    <row r="45" spans="3:19" s="265" customFormat="1" ht="11.25" x14ac:dyDescent="0.2">
      <c r="C45" s="279" t="str">
        <f>G45</f>
        <v>Финансовая деятельность</v>
      </c>
      <c r="D45" s="280" t="str">
        <f>D31</f>
        <v>За 5 лет</v>
      </c>
      <c r="G45" s="279" t="str">
        <f>N45</f>
        <v>Финансовая деятельность</v>
      </c>
      <c r="H45" s="280" t="str">
        <f>H31</f>
        <v>1 кв.</v>
      </c>
      <c r="I45" s="280" t="str">
        <f t="shared" ref="I45:K45" si="6">I31</f>
        <v>2 кв.</v>
      </c>
      <c r="J45" s="280" t="str">
        <f t="shared" si="6"/>
        <v>3 кв.</v>
      </c>
      <c r="K45" s="280" t="str">
        <f t="shared" si="6"/>
        <v>4 кв.</v>
      </c>
      <c r="N45" s="278" t="str">
        <f>ОДДС!A45</f>
        <v>Финансовая деятельность</v>
      </c>
      <c r="O45" s="278" t="str">
        <f>O31</f>
        <v>1 год</v>
      </c>
      <c r="P45" s="278" t="str">
        <f t="shared" ref="P45:S45" si="7">P31</f>
        <v>2 год</v>
      </c>
      <c r="Q45" s="278" t="str">
        <f t="shared" si="7"/>
        <v>3 год</v>
      </c>
      <c r="R45" s="278" t="str">
        <f t="shared" si="7"/>
        <v>4 год</v>
      </c>
      <c r="S45" s="278" t="str">
        <f t="shared" si="7"/>
        <v>5 год</v>
      </c>
    </row>
    <row r="46" spans="3:19" s="265" customFormat="1" ht="11.25" x14ac:dyDescent="0.2">
      <c r="C46" s="265" t="str">
        <f>G46</f>
        <v>Получение кредита</v>
      </c>
      <c r="D46" s="266">
        <f>ОДДС!Z46</f>
        <v>0</v>
      </c>
      <c r="G46" s="265" t="str">
        <f>N46</f>
        <v>Получение кредита</v>
      </c>
      <c r="H46" s="266">
        <f>ОДДС!F46</f>
        <v>0</v>
      </c>
      <c r="I46" s="266">
        <f>ОДДС!G46</f>
        <v>0</v>
      </c>
      <c r="J46" s="266">
        <f>ОДДС!H46</f>
        <v>0</v>
      </c>
      <c r="K46" s="266">
        <f>ОДДС!I46</f>
        <v>0</v>
      </c>
      <c r="N46" s="265" t="str">
        <f>ОДДС!A46</f>
        <v>Получение кредита</v>
      </c>
      <c r="O46" s="266">
        <f>SUM(ОДДС!F46:I46)</f>
        <v>0</v>
      </c>
      <c r="P46" s="266">
        <f>SUM(ОДДС!J46:M46)</f>
        <v>0</v>
      </c>
      <c r="Q46" s="266">
        <f>SUM(ОДДС!N46:Q46)</f>
        <v>0</v>
      </c>
      <c r="R46" s="266">
        <f>SUM(ОДДС!R46:U46)</f>
        <v>0</v>
      </c>
      <c r="S46" s="266">
        <f>SUM(ОДДС!V46:Y46)</f>
        <v>0</v>
      </c>
    </row>
    <row r="47" spans="3:19" s="265" customFormat="1" ht="11.25" x14ac:dyDescent="0.2">
      <c r="C47" s="265" t="str">
        <f>G47</f>
        <v>Возврат тела кредита</v>
      </c>
      <c r="D47" s="266">
        <f>ОДДС!Z47</f>
        <v>0</v>
      </c>
      <c r="G47" s="265" t="str">
        <f>N47</f>
        <v>Возврат тела кредита</v>
      </c>
      <c r="H47" s="266">
        <f>ОДДС!F47</f>
        <v>0</v>
      </c>
      <c r="I47" s="266">
        <f>ОДДС!G47</f>
        <v>0</v>
      </c>
      <c r="J47" s="266">
        <f>ОДДС!H47</f>
        <v>0</v>
      </c>
      <c r="K47" s="266">
        <f>ОДДС!I47</f>
        <v>0</v>
      </c>
      <c r="N47" s="265" t="str">
        <f>ОДДС!A47</f>
        <v>Возврат тела кредита</v>
      </c>
      <c r="O47" s="266">
        <f>SUM(ОДДС!F47:I47)</f>
        <v>0</v>
      </c>
      <c r="P47" s="266">
        <f>SUM(ОДДС!J47:M47)</f>
        <v>0</v>
      </c>
      <c r="Q47" s="266">
        <f>SUM(ОДДС!N47:Q47)</f>
        <v>0</v>
      </c>
      <c r="R47" s="266">
        <f>SUM(ОДДС!R47:U47)</f>
        <v>0</v>
      </c>
      <c r="S47" s="266">
        <f>SUM(ОДДС!V47:Y47)</f>
        <v>0</v>
      </c>
    </row>
    <row r="48" spans="3:19" s="265" customFormat="1" ht="11.25" x14ac:dyDescent="0.2">
      <c r="C48" s="265" t="str">
        <f>G48</f>
        <v>Итого по финансовой деятельности</v>
      </c>
      <c r="D48" s="266">
        <f>ОДДС!Z48</f>
        <v>0</v>
      </c>
      <c r="G48" s="265" t="str">
        <f>N48</f>
        <v>Итого по финансовой деятельности</v>
      </c>
      <c r="H48" s="266">
        <f>ОДДС!F48</f>
        <v>0</v>
      </c>
      <c r="I48" s="266">
        <f>ОДДС!G48</f>
        <v>0</v>
      </c>
      <c r="J48" s="266">
        <f>ОДДС!H48</f>
        <v>0</v>
      </c>
      <c r="K48" s="266">
        <f>ОДДС!I48</f>
        <v>0</v>
      </c>
      <c r="N48" s="265" t="str">
        <f>ОДДС!A48</f>
        <v>Итого по финансовой деятельности</v>
      </c>
      <c r="O48" s="266">
        <f>SUM(ОДДС!F48:I48)</f>
        <v>0</v>
      </c>
      <c r="P48" s="266">
        <f>SUM(ОДДС!J48:M48)</f>
        <v>0</v>
      </c>
      <c r="Q48" s="266">
        <f>SUM(ОДДС!N48:Q48)</f>
        <v>0</v>
      </c>
      <c r="R48" s="266">
        <f>SUM(ОДДС!R48:U48)</f>
        <v>0</v>
      </c>
      <c r="S48" s="266">
        <f>SUM(ОДДС!V48:Y48)</f>
        <v>0</v>
      </c>
    </row>
    <row r="49" spans="3:19" s="265" customFormat="1" ht="11.25" x14ac:dyDescent="0.2">
      <c r="D49" s="266"/>
      <c r="H49" s="266"/>
      <c r="I49" s="266"/>
      <c r="J49" s="266"/>
      <c r="K49" s="266"/>
      <c r="O49" s="266"/>
      <c r="P49" s="266"/>
      <c r="Q49" s="266"/>
      <c r="R49" s="266"/>
      <c r="S49" s="266"/>
    </row>
    <row r="50" spans="3:19" s="273" customFormat="1" ht="11.25" x14ac:dyDescent="0.2">
      <c r="C50" s="273" t="str">
        <f>G50</f>
        <v>Итого денежный поток по проекту</v>
      </c>
      <c r="D50" s="274">
        <f>ОДДС!Z50</f>
        <v>146145837.94093361</v>
      </c>
      <c r="G50" s="273" t="str">
        <f>N50</f>
        <v>Итого денежный поток по проекту</v>
      </c>
      <c r="H50" s="274">
        <f>ОДДС!F50</f>
        <v>38162392.168818742</v>
      </c>
      <c r="I50" s="274">
        <f>ОДДС!G50</f>
        <v>-37471584.557380199</v>
      </c>
      <c r="J50" s="274">
        <f>ОДДС!H50</f>
        <v>2102461.3585750014</v>
      </c>
      <c r="K50" s="274">
        <f>ОДДС!I50</f>
        <v>4428206.725440003</v>
      </c>
      <c r="N50" s="273" t="str">
        <f>ОДДС!A50</f>
        <v>Итого денежный поток по проекту</v>
      </c>
      <c r="O50" s="274">
        <f>O29+O43+O48</f>
        <v>7221475.6954535451</v>
      </c>
      <c r="P50" s="274">
        <f t="shared" ref="P50" si="8">P29+P43+P48</f>
        <v>33628830.987560019</v>
      </c>
      <c r="Q50" s="274">
        <f t="shared" ref="Q50:S50" si="9">Q29+Q43+Q48</f>
        <v>35441758.653840013</v>
      </c>
      <c r="R50" s="274">
        <f t="shared" si="9"/>
        <v>34897145.017720014</v>
      </c>
      <c r="S50" s="274">
        <f t="shared" si="9"/>
        <v>34956627.586360008</v>
      </c>
    </row>
    <row r="51" spans="3:19" s="265" customFormat="1" ht="11.25" x14ac:dyDescent="0.2">
      <c r="C51" s="265" t="str">
        <f>G51</f>
        <v>Денежный средства на начало периода</v>
      </c>
      <c r="D51" s="266">
        <f>ОДДС!Z51</f>
        <v>0</v>
      </c>
      <c r="G51" s="265" t="str">
        <f>N51</f>
        <v>Денежный средства на начало периода</v>
      </c>
      <c r="H51" s="266">
        <f>ОДДС!F51</f>
        <v>38162392.168818742</v>
      </c>
      <c r="I51" s="266">
        <f>ОДДС!G51</f>
        <v>38162392.168818742</v>
      </c>
      <c r="J51" s="266">
        <f>ОДДС!H51</f>
        <v>690807.6114385426</v>
      </c>
      <c r="K51" s="266">
        <f>ОДДС!I51</f>
        <v>2793268.970013544</v>
      </c>
      <c r="N51" s="265" t="str">
        <f>ОДДС!A51</f>
        <v>Денежный средства на начало периода</v>
      </c>
      <c r="O51" s="266">
        <f>O50</f>
        <v>7221475.6954535451</v>
      </c>
      <c r="P51" s="266">
        <f>O52</f>
        <v>7221475.6954535451</v>
      </c>
      <c r="Q51" s="266">
        <f t="shared" ref="Q51:S51" si="10">P52</f>
        <v>40850306.683013566</v>
      </c>
      <c r="R51" s="266">
        <f t="shared" si="10"/>
        <v>76292065.336853579</v>
      </c>
      <c r="S51" s="266">
        <f t="shared" si="10"/>
        <v>111189210.35457359</v>
      </c>
    </row>
    <row r="52" spans="3:19" s="273" customFormat="1" ht="11.25" x14ac:dyDescent="0.2">
      <c r="C52" s="273" t="str">
        <f>G52</f>
        <v>Денежный средства на конец периода</v>
      </c>
      <c r="D52" s="274">
        <f>ОДДС!Z52</f>
        <v>146145837.94093361</v>
      </c>
      <c r="G52" s="273" t="str">
        <f>N52</f>
        <v>Денежный средства на конец периода</v>
      </c>
      <c r="H52" s="274">
        <f>ОДДС!F52</f>
        <v>38162392.168818742</v>
      </c>
      <c r="I52" s="274">
        <f>ОДДС!G52</f>
        <v>690807.6114385426</v>
      </c>
      <c r="J52" s="274">
        <f>ОДДС!H52</f>
        <v>2793268.970013544</v>
      </c>
      <c r="K52" s="274">
        <f>ОДДС!I52</f>
        <v>7221475.6954535469</v>
      </c>
      <c r="N52" s="273" t="str">
        <f>ОДДС!A52</f>
        <v>Денежный средства на конец периода</v>
      </c>
      <c r="O52" s="274">
        <f>O51</f>
        <v>7221475.6954535451</v>
      </c>
      <c r="P52" s="274">
        <f>P50+P51</f>
        <v>40850306.683013566</v>
      </c>
      <c r="Q52" s="274">
        <f t="shared" ref="Q52:S52" si="11">Q50+Q51</f>
        <v>76292065.336853579</v>
      </c>
      <c r="R52" s="274">
        <f t="shared" si="11"/>
        <v>111189210.35457359</v>
      </c>
      <c r="S52" s="274">
        <f t="shared" si="11"/>
        <v>146145837.94093359</v>
      </c>
    </row>
  </sheetData>
  <mergeCells count="2">
    <mergeCell ref="H3:K3"/>
    <mergeCell ref="A2:K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9" tint="-0.249977111117893"/>
  </sheetPr>
  <dimension ref="A2:AB18"/>
  <sheetViews>
    <sheetView workbookViewId="0">
      <selection activeCell="W4" sqref="W4:AB18"/>
    </sheetView>
  </sheetViews>
  <sheetFormatPr defaultRowHeight="15" x14ac:dyDescent="0.25"/>
  <cols>
    <col min="13" max="13" width="27.85546875" customWidth="1"/>
    <col min="14" max="14" width="16.28515625" customWidth="1"/>
    <col min="17" max="17" width="25.7109375" customWidth="1"/>
    <col min="18" max="21" width="12.7109375" customWidth="1"/>
    <col min="23" max="23" width="23.85546875" bestFit="1" customWidth="1"/>
    <col min="24" max="28" width="13.7109375" customWidth="1"/>
  </cols>
  <sheetData>
    <row r="2" spans="1:28" ht="33.75" x14ac:dyDescent="0.5">
      <c r="A2" s="386" t="s">
        <v>368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3" spans="1:28" x14ac:dyDescent="0.25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397" t="s">
        <v>34</v>
      </c>
      <c r="S3" s="397"/>
      <c r="T3" s="397"/>
      <c r="U3" s="397"/>
    </row>
    <row r="4" spans="1:28" x14ac:dyDescent="0.25">
      <c r="M4" s="286" t="s">
        <v>376</v>
      </c>
      <c r="N4" s="286" t="s">
        <v>370</v>
      </c>
      <c r="Q4" s="286" t="s">
        <v>376</v>
      </c>
      <c r="R4" s="286" t="str">
        <f>Прибыль!F4</f>
        <v>1 кв.</v>
      </c>
      <c r="S4" s="286" t="str">
        <f>Прибыль!G4</f>
        <v>2 кв.</v>
      </c>
      <c r="T4" s="286" t="str">
        <f>Прибыль!H4</f>
        <v>3 кв.</v>
      </c>
      <c r="U4" s="286" t="str">
        <f>Прибыль!I4</f>
        <v>4 кв.</v>
      </c>
      <c r="W4" s="286" t="s">
        <v>376</v>
      </c>
      <c r="X4" s="286" t="str">
        <f>Прибыль!F3</f>
        <v>1 год</v>
      </c>
      <c r="Y4" s="286" t="str">
        <f>Прибыль!J3</f>
        <v>2 год</v>
      </c>
      <c r="Z4" s="286" t="str">
        <f>Прибыль!N3</f>
        <v>3 год</v>
      </c>
      <c r="AA4" s="286" t="str">
        <f>Прибыль!R3</f>
        <v>4 год</v>
      </c>
      <c r="AB4" s="286" t="str">
        <f>Прибыль!V3</f>
        <v>5 год</v>
      </c>
    </row>
    <row r="5" spans="1:28" x14ac:dyDescent="0.25">
      <c r="M5" t="str">
        <f>Прибыль!A5</f>
        <v>Выручка</v>
      </c>
      <c r="N5" s="267">
        <f>Прибыль!Z5</f>
        <v>1195560000</v>
      </c>
      <c r="Q5" t="str">
        <f>Прибыль!A5</f>
        <v>Выручка</v>
      </c>
      <c r="R5" s="267">
        <f>Прибыль!F5</f>
        <v>0</v>
      </c>
      <c r="S5" s="267">
        <f>Прибыль!G5</f>
        <v>39852000</v>
      </c>
      <c r="T5" s="267">
        <f>Прибыль!H5</f>
        <v>46494000</v>
      </c>
      <c r="U5" s="267">
        <f>Прибыль!I5</f>
        <v>53136000</v>
      </c>
      <c r="W5" t="str">
        <f>Q5</f>
        <v>Выручка</v>
      </c>
      <c r="X5" s="267">
        <f>SUM(Прибыль!F5:I5)</f>
        <v>139482000</v>
      </c>
      <c r="Y5" s="267">
        <f>SUM(Прибыль!J5:M5)</f>
        <v>259038000</v>
      </c>
      <c r="Z5" s="267">
        <f>SUM(Прибыль!N5:Q5)</f>
        <v>265680000</v>
      </c>
      <c r="AA5" s="267">
        <f>SUM(Прибыль!R5:U5)</f>
        <v>265680000</v>
      </c>
      <c r="AB5" s="267">
        <f>SUM(Прибыль!V5:Y5)</f>
        <v>265680000</v>
      </c>
    </row>
    <row r="6" spans="1:28" x14ac:dyDescent="0.25">
      <c r="M6" t="str">
        <f>Прибыль!A6</f>
        <v>Переменные расходы</v>
      </c>
      <c r="N6" s="267">
        <f>Прибыль!Z6</f>
        <v>585704844</v>
      </c>
      <c r="Q6" t="str">
        <f>Прибыль!A6</f>
        <v>Переменные расходы</v>
      </c>
      <c r="R6" s="267">
        <f>Прибыль!F6</f>
        <v>0</v>
      </c>
      <c r="S6" s="267">
        <f>Прибыль!G6</f>
        <v>19523494.800000001</v>
      </c>
      <c r="T6" s="267">
        <f>Прибыль!H6</f>
        <v>22777410.600000001</v>
      </c>
      <c r="U6" s="267">
        <f>Прибыль!I6</f>
        <v>26031326.399999999</v>
      </c>
      <c r="W6" t="str">
        <f t="shared" ref="W6:W18" si="0">Q6</f>
        <v>Переменные расходы</v>
      </c>
      <c r="X6" s="267">
        <f>SUM(Прибыль!F6:I6)</f>
        <v>68332231.800000012</v>
      </c>
      <c r="Y6" s="267">
        <f>SUM(Прибыль!J6:M6)</f>
        <v>126902716.2</v>
      </c>
      <c r="Z6" s="267">
        <f>SUM(Прибыль!N6:Q6)</f>
        <v>130156632</v>
      </c>
      <c r="AA6" s="267">
        <f>SUM(Прибыль!R6:U6)</f>
        <v>130156632</v>
      </c>
      <c r="AB6" s="267">
        <f>SUM(Прибыль!V6:Y6)</f>
        <v>130156632</v>
      </c>
    </row>
    <row r="7" spans="1:28" s="281" customFormat="1" ht="12" x14ac:dyDescent="0.2">
      <c r="M7" s="283" t="str">
        <f>Прибыль!A7</f>
        <v>Маржинальная прибыль</v>
      </c>
      <c r="N7" s="282">
        <f>Прибыль!Z7</f>
        <v>609855156</v>
      </c>
      <c r="Q7" s="283" t="str">
        <f>Прибыль!A7</f>
        <v>Маржинальная прибыль</v>
      </c>
      <c r="R7" s="282">
        <f>Прибыль!F7</f>
        <v>0</v>
      </c>
      <c r="S7" s="282">
        <f>Прибыль!G7</f>
        <v>20328505.199999999</v>
      </c>
      <c r="T7" s="282">
        <f>Прибыль!H7</f>
        <v>23716589.399999999</v>
      </c>
      <c r="U7" s="282">
        <f>Прибыль!I7</f>
        <v>27104673.600000001</v>
      </c>
      <c r="W7" s="283" t="str">
        <f t="shared" si="0"/>
        <v>Маржинальная прибыль</v>
      </c>
      <c r="X7" s="282">
        <f>SUM(Прибыль!F7:I7)</f>
        <v>71149768.199999988</v>
      </c>
      <c r="Y7" s="282">
        <f>SUM(Прибыль!J7:M7)</f>
        <v>132135283.8</v>
      </c>
      <c r="Z7" s="282">
        <f>SUM(Прибыль!N7:Q7)</f>
        <v>135523368</v>
      </c>
      <c r="AA7" s="282">
        <f>SUM(Прибыль!R7:U7)</f>
        <v>135523368</v>
      </c>
      <c r="AB7" s="282">
        <f>SUM(Прибыль!V7:Y7)</f>
        <v>135523368</v>
      </c>
    </row>
    <row r="8" spans="1:28" x14ac:dyDescent="0.25">
      <c r="M8" t="str">
        <f>Прибыль!A8</f>
        <v>Постоянные расходы</v>
      </c>
      <c r="N8" s="267">
        <f>Прибыль!Z8</f>
        <v>403441056.25715923</v>
      </c>
      <c r="Q8" t="str">
        <f>Прибыль!A8</f>
        <v>Постоянные расходы</v>
      </c>
      <c r="R8" s="267">
        <f>Прибыль!F8</f>
        <v>5980028.6571156234</v>
      </c>
      <c r="S8" s="267">
        <f>Прибыль!G8</f>
        <v>19406532.984343752</v>
      </c>
      <c r="T8" s="267">
        <f>Прибыль!H8</f>
        <v>21003027.478649996</v>
      </c>
      <c r="U8" s="267">
        <f>Прибыль!I8</f>
        <v>21003027.478649996</v>
      </c>
      <c r="W8" t="str">
        <f t="shared" si="0"/>
        <v>Постоянные расходы</v>
      </c>
      <c r="X8" s="267">
        <f>SUM(Прибыль!F8:I8)</f>
        <v>67392616.598759368</v>
      </c>
      <c r="Y8" s="267">
        <f>SUM(Прибыль!J8:M8)</f>
        <v>84012109.914599985</v>
      </c>
      <c r="Z8" s="267">
        <f>SUM(Прибыль!N8:Q8)</f>
        <v>84012109.914599985</v>
      </c>
      <c r="AA8" s="267">
        <f>SUM(Прибыль!R8:U8)</f>
        <v>84012109.914599985</v>
      </c>
      <c r="AB8" s="267">
        <f>SUM(Прибыль!V8:Y8)</f>
        <v>84012109.914599985</v>
      </c>
    </row>
    <row r="9" spans="1:28" s="281" customFormat="1" ht="12" x14ac:dyDescent="0.2">
      <c r="M9" s="283" t="str">
        <f>Прибыль!A9</f>
        <v>EBITDA</v>
      </c>
      <c r="N9" s="282">
        <f>Прибыль!Z9</f>
        <v>206414099.74284062</v>
      </c>
      <c r="Q9" s="283" t="str">
        <f>Прибыль!A9</f>
        <v>EBITDA</v>
      </c>
      <c r="R9" s="282">
        <f>Прибыль!F9</f>
        <v>-5980028.6571156234</v>
      </c>
      <c r="S9" s="282">
        <f>Прибыль!G9</f>
        <v>921972.21565624699</v>
      </c>
      <c r="T9" s="282">
        <f>Прибыль!H9</f>
        <v>2713561.9213500023</v>
      </c>
      <c r="U9" s="282">
        <f>Прибыль!I9</f>
        <v>6101646.1213500053</v>
      </c>
      <c r="W9" s="283" t="str">
        <f t="shared" si="0"/>
        <v>EBITDA</v>
      </c>
      <c r="X9" s="282">
        <f>SUM(Прибыль!F9:I9)</f>
        <v>3757151.6012406312</v>
      </c>
      <c r="Y9" s="282">
        <f>SUM(Прибыль!J9:M9)</f>
        <v>48123173.88540002</v>
      </c>
      <c r="Z9" s="282">
        <f>SUM(Прибыль!N9:Q9)</f>
        <v>51511258.085400015</v>
      </c>
      <c r="AA9" s="282">
        <f>SUM(Прибыль!R9:U9)</f>
        <v>51511258.085400015</v>
      </c>
      <c r="AB9" s="282">
        <f>SUM(Прибыль!V9:Y9)</f>
        <v>51511258.085400015</v>
      </c>
    </row>
    <row r="10" spans="1:28" x14ac:dyDescent="0.25">
      <c r="M10" t="str">
        <f>Прибыль!A10</f>
        <v>Проценты по кредиту</v>
      </c>
      <c r="N10" s="267">
        <f>Прибыль!Z10</f>
        <v>0</v>
      </c>
      <c r="Q10" t="str">
        <f>Прибыль!A10</f>
        <v>Проценты по кредиту</v>
      </c>
      <c r="R10" s="267">
        <f>Прибыль!F10</f>
        <v>0</v>
      </c>
      <c r="S10" s="267">
        <f>Прибыль!G10</f>
        <v>0</v>
      </c>
      <c r="T10" s="267">
        <f>Прибыль!H10</f>
        <v>0</v>
      </c>
      <c r="U10" s="267">
        <f>Прибыль!I10</f>
        <v>0</v>
      </c>
      <c r="W10" t="str">
        <f t="shared" si="0"/>
        <v>Проценты по кредиту</v>
      </c>
      <c r="X10" s="267">
        <f>SUM(Прибыль!F10:I10)</f>
        <v>0</v>
      </c>
      <c r="Y10" s="267">
        <f>SUM(Прибыль!J10:M10)</f>
        <v>0</v>
      </c>
      <c r="Z10" s="267">
        <f>SUM(Прибыль!N10:Q10)</f>
        <v>0</v>
      </c>
      <c r="AA10" s="267">
        <f>SUM(Прибыль!R10:U10)</f>
        <v>0</v>
      </c>
      <c r="AB10" s="267">
        <f>SUM(Прибыль!V10:Y10)</f>
        <v>0</v>
      </c>
    </row>
    <row r="11" spans="1:28" x14ac:dyDescent="0.25">
      <c r="M11" t="str">
        <f>Прибыль!A11</f>
        <v>Налоги</v>
      </c>
      <c r="N11" s="267">
        <f>Прибыль!Z11</f>
        <v>35871184.024940103</v>
      </c>
      <c r="Q11" t="str">
        <f>Прибыль!A11</f>
        <v>Налоги</v>
      </c>
      <c r="R11" s="267">
        <f>Прибыль!F11</f>
        <v>-836381.37885260396</v>
      </c>
      <c r="S11" s="267">
        <f>Прибыль!G11</f>
        <v>231164.60421770721</v>
      </c>
      <c r="T11" s="267">
        <f>Прибыль!H11</f>
        <v>611100.56277499942</v>
      </c>
      <c r="U11" s="267">
        <f>Прибыль!I11</f>
        <v>1162663.2020500004</v>
      </c>
      <c r="W11" t="str">
        <f t="shared" si="0"/>
        <v>Налоги</v>
      </c>
      <c r="X11" s="267">
        <f>SUM(Прибыль!F11:I11)</f>
        <v>1168546.9901901032</v>
      </c>
      <c r="Y11" s="267">
        <f>SUM(Прибыль!J11:M11)</f>
        <v>8472237.1009500008</v>
      </c>
      <c r="Z11" s="267">
        <f>SUM(Прибыль!N11:Q11)</f>
        <v>8835253.8181000017</v>
      </c>
      <c r="AA11" s="267">
        <f>SUM(Прибыль!R11:U11)</f>
        <v>8734749.6632500011</v>
      </c>
      <c r="AB11" s="267">
        <f>SUM(Прибыль!V11:Y11)</f>
        <v>8660396.4524500016</v>
      </c>
    </row>
    <row r="12" spans="1:28" x14ac:dyDescent="0.25">
      <c r="M12" t="str">
        <f>Прибыль!A12</f>
        <v>НДС</v>
      </c>
      <c r="N12" s="267">
        <f>Прибыль!Z12</f>
        <v>34402349.957140118</v>
      </c>
      <c r="Q12" t="str">
        <f>Прибыль!A12</f>
        <v>НДС</v>
      </c>
      <c r="R12" s="267">
        <f>Прибыль!F12</f>
        <v>-996671.44285260397</v>
      </c>
      <c r="S12" s="267">
        <f>Прибыль!G12</f>
        <v>153662.03594270721</v>
      </c>
      <c r="T12" s="267">
        <f>Прибыль!H12</f>
        <v>452260.32022499945</v>
      </c>
      <c r="U12" s="267">
        <f>Прибыль!I12</f>
        <v>1016941.0202250006</v>
      </c>
      <c r="W12" t="str">
        <f t="shared" si="0"/>
        <v>НДС</v>
      </c>
      <c r="X12" s="267">
        <f>SUM(Прибыль!F12:I12)</f>
        <v>626191.93354010326</v>
      </c>
      <c r="Y12" s="267">
        <f>SUM(Прибыль!J12:M12)</f>
        <v>8020528.9809000008</v>
      </c>
      <c r="Z12" s="267">
        <f>SUM(Прибыль!N12:Q12)</f>
        <v>8585209.6809</v>
      </c>
      <c r="AA12" s="267">
        <f>SUM(Прибыль!R12:U12)</f>
        <v>8585209.6809</v>
      </c>
      <c r="AB12" s="267">
        <f>SUM(Прибыль!V12:Y12)</f>
        <v>8585209.6809</v>
      </c>
    </row>
    <row r="13" spans="1:28" x14ac:dyDescent="0.25">
      <c r="M13" t="str">
        <f>Прибыль!A13</f>
        <v>Налог на имущество</v>
      </c>
      <c r="N13" s="267">
        <f>Прибыль!Z13</f>
        <v>1468834.0677999996</v>
      </c>
      <c r="Q13" t="str">
        <f>Прибыль!A13</f>
        <v>Налог на имущество</v>
      </c>
      <c r="R13" s="267">
        <f>Прибыль!F13</f>
        <v>160290.06399999998</v>
      </c>
      <c r="S13" s="267">
        <f>Прибыль!G13</f>
        <v>77502.568274999998</v>
      </c>
      <c r="T13" s="267">
        <f>Прибыль!H13</f>
        <v>158840.24255</v>
      </c>
      <c r="U13" s="267">
        <f>Прибыль!I13</f>
        <v>145722.18182499998</v>
      </c>
      <c r="W13" t="str">
        <f t="shared" si="0"/>
        <v>Налог на имущество</v>
      </c>
      <c r="X13" s="267">
        <f>SUM(Прибыль!F13:I13)</f>
        <v>542355.05664999993</v>
      </c>
      <c r="Y13" s="267">
        <f>SUM(Прибыль!J13:M13)</f>
        <v>451708.12005000003</v>
      </c>
      <c r="Z13" s="267">
        <f>SUM(Прибыль!N13:Q13)</f>
        <v>250044.13719999997</v>
      </c>
      <c r="AA13" s="267">
        <f>SUM(Прибыль!R13:U13)</f>
        <v>149539.98235000001</v>
      </c>
      <c r="AB13" s="267">
        <f>SUM(Прибыль!V13:Y13)</f>
        <v>75186.771550000005</v>
      </c>
    </row>
    <row r="14" spans="1:28" x14ac:dyDescent="0.25">
      <c r="M14" t="str">
        <f>Прибыль!A14</f>
        <v>Налог на землю</v>
      </c>
      <c r="N14" s="267">
        <f>Прибыль!Z14</f>
        <v>0</v>
      </c>
      <c r="Q14" t="str">
        <f>Прибыль!A14</f>
        <v>Налог на землю</v>
      </c>
      <c r="R14" s="267">
        <f>Прибыль!F14</f>
        <v>0</v>
      </c>
      <c r="S14" s="267">
        <f>Прибыль!G14</f>
        <v>0</v>
      </c>
      <c r="T14" s="267">
        <f>Прибыль!H14</f>
        <v>0</v>
      </c>
      <c r="U14" s="267">
        <f>Прибыль!I14</f>
        <v>0</v>
      </c>
      <c r="W14" t="str">
        <f t="shared" si="0"/>
        <v>Налог на землю</v>
      </c>
      <c r="X14" s="267">
        <f>SUM(Прибыль!F14:I14)</f>
        <v>0</v>
      </c>
      <c r="Y14" s="267">
        <f>SUM(Прибыль!J14:M14)</f>
        <v>0</v>
      </c>
      <c r="Z14" s="267">
        <f>SUM(Прибыль!N14:Q14)</f>
        <v>0</v>
      </c>
      <c r="AA14" s="267">
        <f>SUM(Прибыль!R14:U14)</f>
        <v>0</v>
      </c>
      <c r="AB14" s="267">
        <f>SUM(Прибыль!V14:Y14)</f>
        <v>0</v>
      </c>
    </row>
    <row r="15" spans="1:28" x14ac:dyDescent="0.25">
      <c r="M15" t="str">
        <f>Прибыль!A15</f>
        <v>Амортизация</v>
      </c>
      <c r="N15" s="267">
        <f>Прибыль!Z15</f>
        <v>31354314.600000009</v>
      </c>
      <c r="Q15" t="str">
        <f>Прибыль!A15</f>
        <v>Амортизация</v>
      </c>
      <c r="R15" s="267">
        <f>Прибыль!F15</f>
        <v>2227271.9500000002</v>
      </c>
      <c r="S15" s="267">
        <f>Прибыль!G15</f>
        <v>1552271.9500000002</v>
      </c>
      <c r="T15" s="267">
        <f>Прибыль!H15</f>
        <v>2385101.9500000002</v>
      </c>
      <c r="U15" s="267">
        <f>Прибыль!I15</f>
        <v>2385101.9500000002</v>
      </c>
      <c r="W15" t="str">
        <f t="shared" si="0"/>
        <v>Амортизация</v>
      </c>
      <c r="X15" s="267">
        <f>SUM(Прибыль!F15:I15)</f>
        <v>8549747.8000000007</v>
      </c>
      <c r="Y15" s="267">
        <f>SUM(Прибыль!J15:M15)</f>
        <v>9540407.8000000007</v>
      </c>
      <c r="Z15" s="267">
        <f>SUM(Прибыль!N15:Q15)</f>
        <v>6504776.2000000002</v>
      </c>
      <c r="AA15" s="267">
        <f>SUM(Прибыль!R15:U15)</f>
        <v>3379691.4</v>
      </c>
      <c r="AB15" s="267">
        <f>SUM(Прибыль!V15:Y15)</f>
        <v>3379691.4</v>
      </c>
    </row>
    <row r="16" spans="1:28" x14ac:dyDescent="0.25">
      <c r="M16" t="str">
        <f>Прибыль!A16</f>
        <v>Прибыль</v>
      </c>
      <c r="N16" s="267">
        <f>Прибыль!Z16</f>
        <v>139188601.11790058</v>
      </c>
      <c r="Q16" t="str">
        <f>Прибыль!A16</f>
        <v>Прибыль</v>
      </c>
      <c r="R16" s="267">
        <f>Прибыль!F16</f>
        <v>-7370919.2282630196</v>
      </c>
      <c r="S16" s="267">
        <f>Прибыль!G16</f>
        <v>-861464.33856146038</v>
      </c>
      <c r="T16" s="267">
        <f>Прибыль!H16</f>
        <v>-282640.59142499743</v>
      </c>
      <c r="U16" s="267">
        <f>Прибыль!I16</f>
        <v>2553880.9693000047</v>
      </c>
      <c r="W16" t="str">
        <f t="shared" si="0"/>
        <v>Прибыль</v>
      </c>
      <c r="X16" s="267">
        <f>SUM(Прибыль!F16:I16)</f>
        <v>-5961143.1889494723</v>
      </c>
      <c r="Y16" s="267">
        <f>SUM(Прибыль!J16:M16)</f>
        <v>30110528.984450016</v>
      </c>
      <c r="Z16" s="267">
        <f>SUM(Прибыль!N16:Q16)</f>
        <v>36171228.067300014</v>
      </c>
      <c r="AA16" s="267">
        <f>SUM(Прибыль!R16:U16)</f>
        <v>39396817.02215001</v>
      </c>
      <c r="AB16" s="267">
        <f>SUM(Прибыль!V16:Y16)</f>
        <v>39471170.232950017</v>
      </c>
    </row>
    <row r="17" spans="13:28" x14ac:dyDescent="0.25">
      <c r="M17" t="str">
        <f>Прибыль!A17</f>
        <v>Налог на прибыль</v>
      </c>
      <c r="N17" s="267">
        <f>Прибыль!Z17</f>
        <v>29540725.055230021</v>
      </c>
      <c r="Q17" t="str">
        <f>Прибыль!A17</f>
        <v>Налог на прибыль</v>
      </c>
      <c r="R17" s="267">
        <f>Прибыль!F17</f>
        <v>0</v>
      </c>
      <c r="S17" s="267">
        <f>Прибыль!G17</f>
        <v>0</v>
      </c>
      <c r="T17" s="267">
        <f>Прибыль!H17</f>
        <v>0</v>
      </c>
      <c r="U17" s="267">
        <f>Прибыль!I17</f>
        <v>510776.19386000093</v>
      </c>
      <c r="W17" t="str">
        <f t="shared" si="0"/>
        <v>Налог на прибыль</v>
      </c>
      <c r="X17" s="267">
        <f>SUM(Прибыль!F17:I17)</f>
        <v>510776.19386000093</v>
      </c>
      <c r="Y17" s="267">
        <f>SUM(Прибыль!J17:M17)</f>
        <v>6022105.7968900036</v>
      </c>
      <c r="Z17" s="267">
        <f>SUM(Прибыль!N17:Q17)</f>
        <v>7234245.6134600025</v>
      </c>
      <c r="AA17" s="267">
        <f>SUM(Прибыль!R17:U17)</f>
        <v>7879363.4044300038</v>
      </c>
      <c r="AB17" s="267">
        <f>SUM(Прибыль!V17:Y17)</f>
        <v>7894234.0465900041</v>
      </c>
    </row>
    <row r="18" spans="13:28" s="284" customFormat="1" x14ac:dyDescent="0.25">
      <c r="M18" s="284" t="str">
        <f>Прибыль!A18</f>
        <v>Чистая прибыль</v>
      </c>
      <c r="N18" s="285">
        <f>Прибыль!Z18</f>
        <v>109647876.0626706</v>
      </c>
      <c r="Q18" s="284" t="str">
        <f>Прибыль!A18</f>
        <v>Чистая прибыль</v>
      </c>
      <c r="R18" s="285">
        <f>Прибыль!F18</f>
        <v>-7370919.2282630196</v>
      </c>
      <c r="S18" s="285">
        <f>Прибыль!G18</f>
        <v>-861464.33856146038</v>
      </c>
      <c r="T18" s="285">
        <f>Прибыль!H18</f>
        <v>-282640.59142499743</v>
      </c>
      <c r="U18" s="285">
        <f>Прибыль!I18</f>
        <v>2043104.7754400037</v>
      </c>
      <c r="W18" s="284" t="str">
        <f t="shared" si="0"/>
        <v>Чистая прибыль</v>
      </c>
      <c r="X18" s="285">
        <f>SUM(Прибыль!F18:I18)</f>
        <v>-6471919.3828094732</v>
      </c>
      <c r="Y18" s="285">
        <f>SUM(Прибыль!J18:M18)</f>
        <v>24088423.187560014</v>
      </c>
      <c r="Z18" s="285">
        <f>SUM(Прибыль!N18:Q18)</f>
        <v>28936982.45384001</v>
      </c>
      <c r="AA18" s="285">
        <f>SUM(Прибыль!R18:U18)</f>
        <v>31517453.617720015</v>
      </c>
      <c r="AB18" s="285">
        <f>SUM(Прибыль!V18:Y18)</f>
        <v>31576936.186360013</v>
      </c>
    </row>
  </sheetData>
  <mergeCells count="2">
    <mergeCell ref="A2:K2"/>
    <mergeCell ref="R3:U3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-0.249977111117893"/>
  </sheetPr>
  <dimension ref="A1:L18"/>
  <sheetViews>
    <sheetView workbookViewId="0">
      <selection activeCell="F17" sqref="F17:L18"/>
    </sheetView>
  </sheetViews>
  <sheetFormatPr defaultColWidth="11.140625" defaultRowHeight="14.25" x14ac:dyDescent="0.2"/>
  <cols>
    <col min="1" max="1" width="11.140625" style="1"/>
    <col min="2" max="2" width="40.5703125" style="1" bestFit="1" customWidth="1"/>
    <col min="3" max="3" width="12.42578125" style="1" bestFit="1" customWidth="1"/>
    <col min="4" max="5" width="10.140625" style="1" bestFit="1" customWidth="1"/>
    <col min="6" max="6" width="26.140625" style="1" customWidth="1"/>
    <col min="7" max="12" width="10.42578125" style="1" customWidth="1"/>
    <col min="13" max="16384" width="11.140625" style="1"/>
  </cols>
  <sheetData>
    <row r="1" spans="1:11" ht="33.75" x14ac:dyDescent="0.5">
      <c r="A1" s="386" t="s">
        <v>371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</row>
    <row r="4" spans="1:11" ht="28.5" x14ac:dyDescent="0.2">
      <c r="B4" s="270" t="str">
        <f>'Возврат инвестиций'!A35</f>
        <v>Ставка дисконтирования для инвестора</v>
      </c>
      <c r="C4" s="269">
        <f>'Возврат инвестиций'!B35</f>
        <v>0.2</v>
      </c>
    </row>
    <row r="6" spans="1:11" x14ac:dyDescent="0.2">
      <c r="B6" s="1" t="str">
        <f>'Возврат инвестиций'!A44</f>
        <v>ЧДД за 5 лет</v>
      </c>
      <c r="C6" s="68">
        <f>'Возврат инвестиций'!B44</f>
        <v>4127387.4213105449</v>
      </c>
    </row>
    <row r="7" spans="1:11" x14ac:dyDescent="0.2">
      <c r="B7" s="1" t="str">
        <f>'Возврат инвестиций'!A45</f>
        <v>ЧДД с учетом продажи бизнеса</v>
      </c>
      <c r="C7" s="68">
        <f>'Возврат инвестиций'!B45</f>
        <v>70001313.891346946</v>
      </c>
    </row>
    <row r="9" spans="1:11" x14ac:dyDescent="0.2">
      <c r="C9" s="1" t="str">
        <f>'Возврат инвестиций'!B47</f>
        <v>квартал</v>
      </c>
      <c r="D9" s="1" t="str">
        <f>'Возврат инвестиций'!C47</f>
        <v>год</v>
      </c>
    </row>
    <row r="10" spans="1:11" x14ac:dyDescent="0.2">
      <c r="B10" s="1" t="str">
        <f>'Возврат инвестиций'!A48</f>
        <v>ВНД за 5 лет</v>
      </c>
      <c r="C10" s="269">
        <f>'Возврат инвестиций'!B48</f>
        <v>5.5400372932514097E-2</v>
      </c>
      <c r="D10" s="269">
        <f>'Возврат инвестиций'!C48</f>
        <v>0.22160149173005639</v>
      </c>
    </row>
    <row r="11" spans="1:11" x14ac:dyDescent="0.2">
      <c r="B11" s="1" t="str">
        <f>'Возврат инвестиций'!A49</f>
        <v>ВНД с учетом продажи бизнеса</v>
      </c>
      <c r="C11" s="269">
        <f>'Возврат инвестиций'!B49</f>
        <v>0.10195633967034934</v>
      </c>
      <c r="D11" s="269">
        <f>'Возврат инвестиций'!C49</f>
        <v>0.40782535868139735</v>
      </c>
    </row>
    <row r="14" spans="1:11" x14ac:dyDescent="0.2">
      <c r="C14" s="1" t="str">
        <f>C9</f>
        <v>квартал</v>
      </c>
      <c r="D14" s="1" t="str">
        <f>D9</f>
        <v>год</v>
      </c>
    </row>
    <row r="15" spans="1:11" x14ac:dyDescent="0.2">
      <c r="B15" s="1" t="str">
        <f>'Возврат инвестиций'!A51</f>
        <v>Срок окупаемости</v>
      </c>
      <c r="C15" s="1">
        <f>'Возврат инвестиций'!B51</f>
        <v>12</v>
      </c>
      <c r="D15" s="306">
        <f>'Возврат инвестиций'!C51</f>
        <v>3</v>
      </c>
    </row>
    <row r="17" spans="2:12" x14ac:dyDescent="0.2"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7</v>
      </c>
    </row>
    <row r="18" spans="2:12" ht="28.5" x14ac:dyDescent="0.2">
      <c r="B18" s="270" t="str">
        <f>'Возврат инвестиций'!$A$38</f>
        <v>Стоимость создаваемого бизнеса в конце срока планирования</v>
      </c>
      <c r="C18" s="68">
        <f>'Возврат инвестиций'!$B$38</f>
        <v>174783137.93180004</v>
      </c>
      <c r="F18" s="270" t="str">
        <f>'Возврат инвестиций'!A25</f>
        <v>Денежный поток собственнику бизнеса</v>
      </c>
      <c r="G18" s="266">
        <f>SUM('Возврат инвестиций'!F25:I25)</f>
        <v>7221475.6954535469</v>
      </c>
      <c r="H18" s="266">
        <f>SUM('Возврат инвестиций'!J25:M25)</f>
        <v>33628830.987560004</v>
      </c>
      <c r="I18" s="266">
        <f>SUM('Возврат инвестиций'!N25:Q25)</f>
        <v>35441758.653840013</v>
      </c>
      <c r="J18" s="266">
        <f>SUM('Возврат инвестиций'!R25:U25)</f>
        <v>34897145.017720014</v>
      </c>
      <c r="K18" s="266">
        <f>SUM('Возврат инвестиций'!V25:Y25)</f>
        <v>34956627.586360008</v>
      </c>
      <c r="L18" s="266">
        <f>SUM(G18:K18)</f>
        <v>146145837.94093359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 tint="-0.249977111117893"/>
  </sheetPr>
  <dimension ref="A1:M22"/>
  <sheetViews>
    <sheetView workbookViewId="0">
      <selection activeCell="R37" sqref="R37"/>
    </sheetView>
  </sheetViews>
  <sheetFormatPr defaultRowHeight="15" x14ac:dyDescent="0.25"/>
  <cols>
    <col min="2" max="2" width="45.140625" bestFit="1" customWidth="1"/>
    <col min="3" max="3" width="12.5703125" bestFit="1" customWidth="1"/>
    <col min="4" max="4" width="10.85546875" customWidth="1"/>
    <col min="7" max="7" width="25" bestFit="1" customWidth="1"/>
    <col min="8" max="8" width="10.5703125" bestFit="1" customWidth="1"/>
    <col min="9" max="12" width="9.85546875" bestFit="1" customWidth="1"/>
    <col min="13" max="13" width="11.140625" customWidth="1"/>
  </cols>
  <sheetData>
    <row r="1" spans="1:13" ht="33.75" x14ac:dyDescent="0.5">
      <c r="A1" s="386" t="s">
        <v>372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</row>
    <row r="4" spans="1:13" x14ac:dyDescent="0.25">
      <c r="B4" t="str">
        <f>'Инвестиционный анализ'!A19</f>
        <v>Для расчета ставки дисконтирования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7</v>
      </c>
    </row>
    <row r="5" spans="1:13" x14ac:dyDescent="0.25">
      <c r="B5" t="str">
        <f>'Инвестиционный анализ'!A20</f>
        <v>Доля собственных средств</v>
      </c>
      <c r="C5" s="268">
        <f>'Инвестиционный анализ'!B20</f>
        <v>1</v>
      </c>
      <c r="G5" t="s">
        <v>373</v>
      </c>
      <c r="H5" s="267">
        <f>SUM('Инвестиционный анализ'!F8:I8)</f>
        <v>-80939281.219497472</v>
      </c>
      <c r="I5" s="267">
        <f>SUM('Инвестиционный анализ'!J8:M8)</f>
        <v>33628830.987560004</v>
      </c>
      <c r="J5" s="267">
        <f>SUM('Инвестиционный анализ'!N8:Q8)</f>
        <v>35441758.653840013</v>
      </c>
      <c r="K5" s="267">
        <f>SUM('Инвестиционный анализ'!R8:U8)</f>
        <v>34897145.017720014</v>
      </c>
      <c r="L5" s="267">
        <f>SUM('Инвестиционный анализ'!V8:Y8)</f>
        <v>34956627.586360008</v>
      </c>
      <c r="M5" s="267">
        <f>SUM(H5:L5)</f>
        <v>57985081.025982566</v>
      </c>
    </row>
    <row r="6" spans="1:13" x14ac:dyDescent="0.25">
      <c r="B6" t="str">
        <f>'Инвестиционный анализ'!A21</f>
        <v>Доля кредитных средств</v>
      </c>
      <c r="C6" s="268">
        <f>'Инвестиционный анализ'!B21</f>
        <v>0</v>
      </c>
    </row>
    <row r="8" spans="1:13" x14ac:dyDescent="0.25">
      <c r="B8" t="str">
        <f>'Инвестиционный анализ'!A23</f>
        <v>Требования к доходности собственных средств</v>
      </c>
      <c r="C8" s="268">
        <f>'Инвестиционный анализ'!B23</f>
        <v>0.2</v>
      </c>
    </row>
    <row r="9" spans="1:13" x14ac:dyDescent="0.25">
      <c r="B9" t="str">
        <f>'Инвестиционный анализ'!A24</f>
        <v>Процент по кредиту</v>
      </c>
      <c r="C9" s="268">
        <f>'Инвестиционный анализ'!B24</f>
        <v>0.16</v>
      </c>
    </row>
    <row r="11" spans="1:13" x14ac:dyDescent="0.25">
      <c r="C11" t="str">
        <f>'Инвестиционный анализ'!B26</f>
        <v>Квартал</v>
      </c>
      <c r="D11" t="str">
        <f>'Инвестиционный анализ'!C26</f>
        <v>Год</v>
      </c>
    </row>
    <row r="12" spans="1:13" x14ac:dyDescent="0.25">
      <c r="B12" t="str">
        <f>'Инвестиционный анализ'!A27</f>
        <v>WACC</v>
      </c>
      <c r="C12" s="268">
        <f>'Инвестиционный анализ'!B27</f>
        <v>0.05</v>
      </c>
      <c r="D12" s="268">
        <f>'Инвестиционный анализ'!C27</f>
        <v>0.2</v>
      </c>
    </row>
    <row r="13" spans="1:13" x14ac:dyDescent="0.25">
      <c r="C13" s="268"/>
      <c r="D13" s="268"/>
    </row>
    <row r="14" spans="1:13" x14ac:dyDescent="0.25">
      <c r="B14" t="str">
        <f>'Инвестиционный анализ'!A30</f>
        <v>ЧДД за 5 лет</v>
      </c>
      <c r="C14" s="271">
        <f>'Инвестиционный анализ'!B30</f>
        <v>959396.4610064748</v>
      </c>
      <c r="D14" s="268"/>
    </row>
    <row r="15" spans="1:13" x14ac:dyDescent="0.25">
      <c r="B15" t="str">
        <f>'Инвестиционный анализ'!A31</f>
        <v>ЧДД с учетом продажи бизнеса в конце</v>
      </c>
      <c r="C15" s="271">
        <f>'Инвестиционный анализ'!B31</f>
        <v>66833322.93104288</v>
      </c>
      <c r="D15" s="268"/>
    </row>
    <row r="16" spans="1:13" x14ac:dyDescent="0.25">
      <c r="C16" s="268"/>
      <c r="D16" s="268"/>
    </row>
    <row r="17" spans="2:4" x14ac:dyDescent="0.25">
      <c r="C17" s="268" t="str">
        <f>'Инвестиционный анализ'!B33</f>
        <v>Квартал</v>
      </c>
      <c r="D17" s="268" t="str">
        <f>'Инвестиционный анализ'!C33</f>
        <v>Год</v>
      </c>
    </row>
    <row r="18" spans="2:4" x14ac:dyDescent="0.25">
      <c r="B18" t="str">
        <f>'Инвестиционный анализ'!A34</f>
        <v>ВНД за 5 лет</v>
      </c>
      <c r="C18" s="268">
        <f>'Инвестиционный анализ'!B34</f>
        <v>5.12769635302599E-2</v>
      </c>
      <c r="D18" s="268">
        <f>'Инвестиционный анализ'!C34</f>
        <v>0.2051078541210396</v>
      </c>
    </row>
    <row r="19" spans="2:4" x14ac:dyDescent="0.25">
      <c r="B19" t="str">
        <f>'Инвестиционный анализ'!A35</f>
        <v>ВНД с учетом продажи бизнеса в конце</v>
      </c>
      <c r="C19" s="268">
        <f>'Инвестиционный анализ'!B35</f>
        <v>0.10017355575707709</v>
      </c>
      <c r="D19" s="268">
        <f>'Инвестиционный анализ'!C35</f>
        <v>0.40069422302830837</v>
      </c>
    </row>
    <row r="20" spans="2:4" x14ac:dyDescent="0.25">
      <c r="C20" s="268"/>
      <c r="D20" s="268"/>
    </row>
    <row r="21" spans="2:4" x14ac:dyDescent="0.25">
      <c r="C21" s="272" t="str">
        <f>C17</f>
        <v>Квартал</v>
      </c>
      <c r="D21" s="272" t="str">
        <f>D17</f>
        <v>Год</v>
      </c>
    </row>
    <row r="22" spans="2:4" x14ac:dyDescent="0.25">
      <c r="B22" t="str">
        <f>'Инвестиционный анализ'!A14</f>
        <v>Срок окупаемости</v>
      </c>
      <c r="C22">
        <f>'Инвестиционный анализ'!B14</f>
        <v>13</v>
      </c>
      <c r="D22">
        <f>'Инвестиционный анализ'!C14</f>
        <v>3.25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9" tint="-0.249977111117893"/>
  </sheetPr>
  <dimension ref="A1:S19"/>
  <sheetViews>
    <sheetView topLeftCell="N19" workbookViewId="0">
      <selection activeCell="R15" sqref="R15:S19"/>
    </sheetView>
  </sheetViews>
  <sheetFormatPr defaultRowHeight="14.25" x14ac:dyDescent="0.2"/>
  <cols>
    <col min="1" max="1" width="9.140625" style="1"/>
    <col min="2" max="2" width="8.42578125" style="1" bestFit="1" customWidth="1"/>
    <col min="3" max="3" width="9.5703125" style="1" customWidth="1"/>
    <col min="4" max="7" width="8.7109375" style="1" bestFit="1" customWidth="1"/>
    <col min="8" max="8" width="9.5703125" style="1" bestFit="1" customWidth="1"/>
    <col min="9" max="12" width="9.140625" style="1"/>
    <col min="13" max="13" width="53.140625" style="1" bestFit="1" customWidth="1"/>
    <col min="14" max="14" width="13.7109375" style="1" bestFit="1" customWidth="1"/>
    <col min="15" max="17" width="9.140625" style="1"/>
    <col min="18" max="18" width="48.140625" style="1" bestFit="1" customWidth="1"/>
    <col min="19" max="19" width="14.140625" style="1" customWidth="1"/>
    <col min="20" max="16384" width="9.140625" style="1"/>
  </cols>
  <sheetData>
    <row r="1" spans="1:19" ht="33.75" x14ac:dyDescent="0.5">
      <c r="A1" s="386" t="s">
        <v>374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</row>
    <row r="3" spans="1:19" x14ac:dyDescent="0.2">
      <c r="C3" s="1" t="str">
        <f>Прибыль!$F$3</f>
        <v>1 год</v>
      </c>
      <c r="D3" s="1" t="str">
        <f>Прибыль!$J$3</f>
        <v>2 год</v>
      </c>
      <c r="E3" s="1" t="str">
        <f>Прибыль!$N$3</f>
        <v>3 год</v>
      </c>
      <c r="F3" s="1" t="str">
        <f>Прибыль!$R$3</f>
        <v>4 год</v>
      </c>
      <c r="G3" s="1" t="str">
        <f>Прибыль!$V$3</f>
        <v>5 год</v>
      </c>
      <c r="H3" s="1" t="s">
        <v>7</v>
      </c>
    </row>
    <row r="4" spans="1:19" x14ac:dyDescent="0.2">
      <c r="B4" s="1" t="str">
        <f>Прибыль!A9</f>
        <v>EBITDA</v>
      </c>
      <c r="C4" s="266">
        <f>SUM(Прибыль!$F$9:$I$9)</f>
        <v>3757151.6012406312</v>
      </c>
      <c r="D4" s="266">
        <f>SUM(Прибыль!$J$9:$M$9)</f>
        <v>48123173.88540002</v>
      </c>
      <c r="E4" s="266">
        <f>SUM(Прибыль!$N$9:$Q$9)</f>
        <v>51511258.085400015</v>
      </c>
      <c r="F4" s="266">
        <f>SUM(Прибыль!$R$9:$U$9)</f>
        <v>51511258.085400015</v>
      </c>
      <c r="G4" s="266">
        <f>SUM(Прибыль!$V$9:$Y$9)</f>
        <v>51511258.085400015</v>
      </c>
      <c r="H4" s="266">
        <f>SUM(C4:G4)</f>
        <v>206414099.74284068</v>
      </c>
    </row>
    <row r="7" spans="1:19" x14ac:dyDescent="0.2">
      <c r="M7" s="1" t="str">
        <f>Резюме!A27</f>
        <v>Анализ рентабельности</v>
      </c>
    </row>
    <row r="8" spans="1:19" x14ac:dyDescent="0.2">
      <c r="M8" s="1" t="str">
        <f>Резюме!A28</f>
        <v>Рентабельность продаж (Прибыль к Выручке)</v>
      </c>
      <c r="N8" s="269">
        <f>Резюме!B28</f>
        <v>0.13157417790710632</v>
      </c>
    </row>
    <row r="9" spans="1:19" x14ac:dyDescent="0.2">
      <c r="M9" s="1" t="str">
        <f>Резюме!A29</f>
        <v>Рентабельность активов (Прибыль к Инвестициям)</v>
      </c>
      <c r="N9" s="269">
        <f>Резюме!B29</f>
        <v>0.42107738681029094</v>
      </c>
    </row>
    <row r="10" spans="1:19" x14ac:dyDescent="0.2">
      <c r="M10" s="1" t="str">
        <f>Резюме!A30</f>
        <v>Маржинальность бизнеса (Маржа к Выручке)</v>
      </c>
      <c r="N10" s="269">
        <f>Резюме!B30</f>
        <v>0.5101</v>
      </c>
    </row>
    <row r="15" spans="1:19" x14ac:dyDescent="0.2">
      <c r="R15" s="1" t="str">
        <f>'Центры прибыли'!A17</f>
        <v>Точка безубыточности</v>
      </c>
      <c r="S15" s="269">
        <f>'Центры прибыли'!B17</f>
        <v>0.70635521468244888</v>
      </c>
    </row>
    <row r="16" spans="1:19" x14ac:dyDescent="0.2">
      <c r="R16" s="1" t="str">
        <f>'Центры прибыли'!A18</f>
        <v>Точка безубыточности в денежном выражении</v>
      </c>
      <c r="S16" s="68">
        <f>'Центры прибыли'!B18</f>
        <v>46916113.359208256</v>
      </c>
    </row>
    <row r="18" spans="18:19" x14ac:dyDescent="0.2">
      <c r="R18" s="1" t="str">
        <f>'Центры прибыли'!N17</f>
        <v>Точка безубыточности с учетом кредита</v>
      </c>
      <c r="S18" s="269">
        <f>'Центры прибыли'!O17</f>
        <v>0.70635521468244888</v>
      </c>
    </row>
    <row r="19" spans="18:19" x14ac:dyDescent="0.2">
      <c r="R19" s="1" t="str">
        <f>'Центры прибыли'!N18</f>
        <v>В денежном выражении</v>
      </c>
      <c r="S19" s="68">
        <f>'Центры прибыли'!O18</f>
        <v>46916113.359208256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-0.249977111117893"/>
  </sheetPr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9" tint="-0.249977111117893"/>
  </sheetPr>
  <dimension ref="A2:J37"/>
  <sheetViews>
    <sheetView topLeftCell="A9" workbookViewId="0">
      <selection activeCell="B33" sqref="B33:C37"/>
    </sheetView>
  </sheetViews>
  <sheetFormatPr defaultRowHeight="14.25" x14ac:dyDescent="0.2"/>
  <cols>
    <col min="1" max="1" width="9.140625" style="1"/>
    <col min="2" max="2" width="57.140625" style="1" customWidth="1"/>
    <col min="3" max="3" width="20" style="1" customWidth="1"/>
    <col min="4" max="16384" width="9.140625" style="1"/>
  </cols>
  <sheetData>
    <row r="2" spans="1:10" ht="33.75" x14ac:dyDescent="0.5">
      <c r="A2" s="386" t="s">
        <v>375</v>
      </c>
      <c r="B2" s="386"/>
      <c r="C2" s="386"/>
      <c r="D2" s="386"/>
      <c r="E2" s="386"/>
      <c r="F2" s="386"/>
      <c r="G2" s="386"/>
      <c r="H2" s="386"/>
      <c r="I2" s="386"/>
      <c r="J2" s="386"/>
    </row>
    <row r="5" spans="1:10" ht="18" x14ac:dyDescent="0.25">
      <c r="B5" s="398" t="str">
        <f>Резюме!A4</f>
        <v>Инвестиции и финансирование проекта</v>
      </c>
      <c r="C5" s="399"/>
    </row>
    <row r="6" spans="1:10" ht="15" x14ac:dyDescent="0.25">
      <c r="B6" s="177" t="str">
        <f>Резюме!A5</f>
        <v>Инвестиций всего</v>
      </c>
      <c r="C6" s="178">
        <f>Резюме!B5</f>
        <v>83017109.636688009</v>
      </c>
    </row>
    <row r="7" spans="1:10" ht="15" x14ac:dyDescent="0.25">
      <c r="B7" s="179" t="str">
        <f>Резюме!A6</f>
        <v>Инвестиции собственника бизнеса</v>
      </c>
      <c r="C7" s="178">
        <f>Резюме!B6</f>
        <v>83017109.636688009</v>
      </c>
    </row>
    <row r="8" spans="1:10" x14ac:dyDescent="0.2">
      <c r="B8" s="180" t="str">
        <f>Резюме!A7</f>
        <v>В бизнес</v>
      </c>
      <c r="C8" s="181">
        <f>Резюме!B7</f>
        <v>77873462.358424991</v>
      </c>
    </row>
    <row r="9" spans="1:10" x14ac:dyDescent="0.2">
      <c r="B9" s="180" t="str">
        <f>Резюме!A8</f>
        <v>На покрытие кассовых разрывов на первый год</v>
      </c>
      <c r="C9" s="181">
        <f>Резюме!B8</f>
        <v>5143647.2782630194</v>
      </c>
    </row>
    <row r="10" spans="1:10" ht="15" x14ac:dyDescent="0.25">
      <c r="B10" s="179" t="str">
        <f>Резюме!A9</f>
        <v>Кредит</v>
      </c>
      <c r="C10" s="178">
        <f>Резюме!B9</f>
        <v>0</v>
      </c>
    </row>
    <row r="11" spans="1:10" x14ac:dyDescent="0.2">
      <c r="B11" s="180" t="str">
        <f>Резюме!A10</f>
        <v>Процентная ставка</v>
      </c>
      <c r="C11" s="182">
        <f>Резюме!B10</f>
        <v>0.16</v>
      </c>
    </row>
    <row r="12" spans="1:10" x14ac:dyDescent="0.2">
      <c r="B12" s="180" t="str">
        <f>Резюме!A11</f>
        <v>Срок кредита</v>
      </c>
      <c r="C12" s="183">
        <f>Резюме!B11</f>
        <v>5</v>
      </c>
    </row>
    <row r="13" spans="1:10" x14ac:dyDescent="0.2">
      <c r="B13" s="180" t="str">
        <f>Резюме!A12</f>
        <v>Отсрочка по уплате тела кредита</v>
      </c>
      <c r="C13" s="183">
        <f>Резюме!B12</f>
        <v>0</v>
      </c>
    </row>
    <row r="14" spans="1:10" x14ac:dyDescent="0.2">
      <c r="B14" s="180" t="str">
        <f>Резюме!A13</f>
        <v>Отсрочка по уплате процентов</v>
      </c>
      <c r="C14" s="183">
        <f>Резюме!B13</f>
        <v>0</v>
      </c>
    </row>
    <row r="15" spans="1:10" x14ac:dyDescent="0.2">
      <c r="B15" s="184"/>
      <c r="C15" s="176"/>
    </row>
    <row r="16" spans="1:10" ht="18" x14ac:dyDescent="0.25">
      <c r="B16" s="398" t="str">
        <f>Резюме!A15</f>
        <v>Операционная деятельность</v>
      </c>
      <c r="C16" s="399"/>
    </row>
    <row r="17" spans="2:3" ht="15" x14ac:dyDescent="0.25">
      <c r="B17" s="177" t="str">
        <f>Резюме!A16</f>
        <v>Выручка, год</v>
      </c>
      <c r="C17" s="178">
        <f>Резюме!B16</f>
        <v>265680000</v>
      </c>
    </row>
    <row r="18" spans="2:3" x14ac:dyDescent="0.2">
      <c r="B18" s="185" t="str">
        <f>Резюме!A17</f>
        <v>Печь "ХЛЕБОПЕЧКА"</v>
      </c>
      <c r="C18" s="181">
        <f>Резюме!B17</f>
        <v>265680000</v>
      </c>
    </row>
    <row r="19" spans="2:3" hidden="1" x14ac:dyDescent="0.2">
      <c r="B19" s="185">
        <f>Резюме!A18</f>
        <v>0</v>
      </c>
      <c r="C19" s="181">
        <f>Резюме!B18</f>
        <v>0</v>
      </c>
    </row>
    <row r="20" spans="2:3" hidden="1" x14ac:dyDescent="0.2">
      <c r="B20" s="185">
        <f>Резюме!A19</f>
        <v>0</v>
      </c>
      <c r="C20" s="181">
        <f>Резюме!B19</f>
        <v>0</v>
      </c>
    </row>
    <row r="21" spans="2:3" ht="15" x14ac:dyDescent="0.25">
      <c r="B21" s="177" t="str">
        <f>Резюме!A20</f>
        <v>Расходы, год</v>
      </c>
      <c r="C21" s="178">
        <f>Резюме!B20</f>
        <v>230723372.41363999</v>
      </c>
    </row>
    <row r="22" spans="2:3" x14ac:dyDescent="0.2">
      <c r="B22" s="185" t="str">
        <f>Резюме!A21</f>
        <v>Переменные расходы</v>
      </c>
      <c r="C22" s="181">
        <f>Резюме!B21</f>
        <v>130156632</v>
      </c>
    </row>
    <row r="23" spans="2:3" x14ac:dyDescent="0.2">
      <c r="B23" s="185" t="str">
        <f>Резюме!A22</f>
        <v>Постоянные расходы</v>
      </c>
      <c r="C23" s="181">
        <f>Резюме!B22</f>
        <v>84012109.914599985</v>
      </c>
    </row>
    <row r="24" spans="2:3" x14ac:dyDescent="0.2">
      <c r="B24" s="185" t="str">
        <f>Резюме!A23</f>
        <v>Налоги</v>
      </c>
      <c r="C24" s="181">
        <f>Резюме!B23</f>
        <v>16554630.499040004</v>
      </c>
    </row>
    <row r="25" spans="2:3" x14ac:dyDescent="0.2">
      <c r="B25" s="186" t="str">
        <f>Резюме!A24</f>
        <v>Маржинальная прибыль, год</v>
      </c>
      <c r="C25" s="187">
        <f>Резюме!B24</f>
        <v>135523368</v>
      </c>
    </row>
    <row r="26" spans="2:3" ht="15" x14ac:dyDescent="0.25">
      <c r="B26" s="177" t="str">
        <f>Резюме!A25</f>
        <v>Чистая прибыль, год</v>
      </c>
      <c r="C26" s="178">
        <f>Резюме!B25</f>
        <v>34956627.586360008</v>
      </c>
    </row>
    <row r="27" spans="2:3" x14ac:dyDescent="0.2">
      <c r="B27" s="184"/>
      <c r="C27" s="176"/>
    </row>
    <row r="28" spans="2:3" ht="18" x14ac:dyDescent="0.25">
      <c r="B28" s="398" t="str">
        <f>Резюме!A27</f>
        <v>Анализ рентабельности</v>
      </c>
      <c r="C28" s="399"/>
    </row>
    <row r="29" spans="2:3" x14ac:dyDescent="0.2">
      <c r="B29" s="186" t="str">
        <f>Резюме!A28</f>
        <v>Рентабельность продаж (Прибыль к Выручке)</v>
      </c>
      <c r="C29" s="188">
        <f>Резюме!B28</f>
        <v>0.13157417790710632</v>
      </c>
    </row>
    <row r="30" spans="2:3" x14ac:dyDescent="0.2">
      <c r="B30" s="186" t="str">
        <f>Резюме!A29</f>
        <v>Рентабельность активов (Прибыль к Инвестициям)</v>
      </c>
      <c r="C30" s="188">
        <f>Резюме!B29</f>
        <v>0.42107738681029094</v>
      </c>
    </row>
    <row r="31" spans="2:3" x14ac:dyDescent="0.2">
      <c r="B31" s="186" t="str">
        <f>Резюме!A30</f>
        <v>Маржинальность бизнеса (Маржа к Выручке)</v>
      </c>
      <c r="C31" s="188">
        <f>Резюме!B30</f>
        <v>0.5101</v>
      </c>
    </row>
    <row r="32" spans="2:3" x14ac:dyDescent="0.2">
      <c r="B32" s="184"/>
      <c r="C32" s="176"/>
    </row>
    <row r="33" spans="2:3" ht="18" x14ac:dyDescent="0.25">
      <c r="B33" s="398" t="str">
        <f>Резюме!A32</f>
        <v>Инвестиционный анализ</v>
      </c>
      <c r="C33" s="399"/>
    </row>
    <row r="34" spans="2:3" x14ac:dyDescent="0.2">
      <c r="B34" s="186" t="str">
        <f>Резюме!A33</f>
        <v>Инвестиции в бизнес</v>
      </c>
      <c r="C34" s="187">
        <f>Резюме!B33</f>
        <v>83017109.636688009</v>
      </c>
    </row>
    <row r="35" spans="2:3" x14ac:dyDescent="0.2">
      <c r="B35" s="186" t="str">
        <f>Резюме!A34</f>
        <v>Срок окупаемости, лет</v>
      </c>
      <c r="C35" s="176">
        <f>Резюме!B34</f>
        <v>3.25</v>
      </c>
    </row>
    <row r="36" spans="2:3" x14ac:dyDescent="0.2">
      <c r="B36" s="186" t="str">
        <f>Резюме!A35</f>
        <v>ЧДД</v>
      </c>
      <c r="C36" s="187">
        <f>Резюме!B35</f>
        <v>959396.4610064748</v>
      </c>
    </row>
    <row r="37" spans="2:3" x14ac:dyDescent="0.2">
      <c r="B37" s="186" t="str">
        <f>Резюме!A36</f>
        <v>ВНД</v>
      </c>
      <c r="C37" s="188">
        <f>Резюме!B36</f>
        <v>0.2051078541210396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Легенда</vt:lpstr>
      <vt:lpstr>Допущения</vt:lpstr>
      <vt:lpstr>Параметры Доходы</vt:lpstr>
      <vt:lpstr>Параметры Расходы</vt:lpstr>
      <vt:lpstr>Параметры инвестиции</vt:lpstr>
      <vt:lpstr>Параметры финансирование</vt:lpstr>
      <vt:lpstr>Параметы Налоги</vt:lpstr>
      <vt:lpstr>Амортизация</vt:lpstr>
      <vt:lpstr>Прибыль</vt:lpstr>
      <vt:lpstr>ОДДС</vt:lpstr>
      <vt:lpstr>Возврат инвестиций</vt:lpstr>
      <vt:lpstr>Инвестиционный анализ</vt:lpstr>
      <vt:lpstr>Центры прибыли</vt:lpstr>
      <vt:lpstr>Анализ чувствительности</vt:lpstr>
      <vt:lpstr>Резюме</vt:lpstr>
      <vt:lpstr>Результаты</vt:lpstr>
      <vt:lpstr>Стратегические цели</vt:lpstr>
      <vt:lpstr>Инвестиции</vt:lpstr>
      <vt:lpstr>Финансирование</vt:lpstr>
      <vt:lpstr>Процессы</vt:lpstr>
      <vt:lpstr>Продажи_1</vt:lpstr>
      <vt:lpstr>Продажи_2</vt:lpstr>
      <vt:lpstr>Продажи_3</vt:lpstr>
      <vt:lpstr>Продажи_4</vt:lpstr>
      <vt:lpstr>Расходы_1</vt:lpstr>
      <vt:lpstr>Расходы_2</vt:lpstr>
      <vt:lpstr>Расходы_3</vt:lpstr>
      <vt:lpstr>Расходы_4</vt:lpstr>
      <vt:lpstr>Налоги_1</vt:lpstr>
      <vt:lpstr>ОДДС_1</vt:lpstr>
      <vt:lpstr>ОПИУ_1</vt:lpstr>
      <vt:lpstr>Возврат инвестору_1</vt:lpstr>
      <vt:lpstr>Инвест анализ_1</vt:lpstr>
      <vt:lpstr>Финансовый анализ</vt:lpstr>
      <vt:lpstr>Риски_1</vt:lpstr>
      <vt:lpstr>Выводы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2024-05-22T13:24:04Z</dcterms:modified>
</cp:coreProperties>
</file>