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sers\Sistema\Documents\GitHub\jyc_corpal\jycboliviaASP.net\DocumentosCorpal\recetos y produccion\"/>
    </mc:Choice>
  </mc:AlternateContent>
  <xr:revisionPtr revIDLastSave="0" documentId="13_ncr:1_{028FA3DA-4F98-4F2B-949F-6E489CE3BFF3}" xr6:coauthVersionLast="47" xr6:coauthVersionMax="47" xr10:uidLastSave="{00000000-0000-0000-0000-000000000000}"/>
  <bookViews>
    <workbookView xWindow="-120" yWindow="-120" windowWidth="20730" windowHeight="11160" firstSheet="2" activeTab="9" xr2:uid="{00000000-000D-0000-FFFF-FFFF00000000}"/>
  </bookViews>
  <sheets>
    <sheet name="Pipa" sheetId="1" r:id="rId1"/>
    <sheet name="Nacho" sheetId="2" r:id="rId2"/>
    <sheet name="Papa" sheetId="3" r:id="rId3"/>
    <sheet name="Tocino" sheetId="4" r:id="rId4"/>
    <sheet name="Megablon" sheetId="6" r:id="rId5"/>
    <sheet name="Escuelin" sheetId="9" r:id="rId6"/>
    <sheet name="Escuelin_Des" sheetId="13" r:id="rId7"/>
    <sheet name="Hoja1" sheetId="18" r:id="rId8"/>
    <sheet name="Choconax" sheetId="12" r:id="rId9"/>
    <sheet name="Mantequilla" sheetId="14" r:id="rId10"/>
    <sheet name="Jengibre" sheetId="15" r:id="rId11"/>
    <sheet name="Navideña" sheetId="16" r:id="rId12"/>
    <sheet name="Cuñapé" sheetId="10" r:id="rId13"/>
    <sheet name="Resumen" sheetId="5" r:id="rId14"/>
    <sheet name="PT" sheetId="17" r:id="rId15"/>
  </sheets>
  <definedNames>
    <definedName name="_xlnm._FilterDatabase" localSheetId="13" hidden="1">Resumen!$A$3:$G$134</definedName>
    <definedName name="_xlnm.Print_Area" localSheetId="8">Choconax!$A$1:$G$44</definedName>
    <definedName name="_xlnm.Print_Area" localSheetId="12">Cuñapé!$A$1:$G$12</definedName>
    <definedName name="_xlnm.Print_Area" localSheetId="5">Escuelin!$A$1:$G$63</definedName>
    <definedName name="_xlnm.Print_Area" localSheetId="6">Escuelin_Des!$I$1:$K$38</definedName>
    <definedName name="_xlnm.Print_Area" localSheetId="4">Megablon!$A$1:$G$43</definedName>
    <definedName name="_xlnm.Print_Area" localSheetId="1">Nacho!$A$1:$G$67</definedName>
    <definedName name="_xlnm.Print_Area" localSheetId="2">Papa!$A$1:$G$65</definedName>
    <definedName name="_xlnm.Print_Area" localSheetId="0">Pipa!$A$1:$G$22</definedName>
    <definedName name="_xlnm.Print_Area" localSheetId="13">Resumen!$B$4:$G$124</definedName>
    <definedName name="_xlnm.Print_Titles" localSheetId="13">Resumen!$1:$3</definedName>
  </definedNames>
  <calcPr calcId="191029"/>
</workbook>
</file>

<file path=xl/calcChain.xml><?xml version="1.0" encoding="utf-8"?>
<calcChain xmlns="http://schemas.openxmlformats.org/spreadsheetml/2006/main">
  <c r="H5" i="17" l="1"/>
  <c r="E39" i="5" l="1"/>
  <c r="C134" i="5"/>
  <c r="C133" i="5"/>
  <c r="C132" i="5"/>
  <c r="C131" i="5"/>
  <c r="C130" i="5"/>
  <c r="C129" i="5"/>
  <c r="C128" i="5"/>
  <c r="C127" i="5"/>
  <c r="C126" i="5"/>
  <c r="H10" i="17" l="1"/>
  <c r="E134" i="5"/>
  <c r="E133" i="5"/>
  <c r="E132" i="5"/>
  <c r="E131" i="5"/>
  <c r="E130" i="5"/>
  <c r="E129" i="5"/>
  <c r="E128" i="5"/>
  <c r="E127" i="5"/>
  <c r="E126" i="5"/>
  <c r="C50" i="4"/>
  <c r="E38" i="5"/>
  <c r="C4" i="17" l="1"/>
  <c r="C10" i="17" l="1"/>
  <c r="C8" i="17" l="1"/>
  <c r="C9" i="17" l="1"/>
  <c r="C7" i="17" l="1"/>
  <c r="J10" i="17" l="1"/>
  <c r="J8" i="17"/>
  <c r="J7" i="17"/>
  <c r="J6" i="17"/>
  <c r="J5" i="17"/>
  <c r="J4" i="17"/>
  <c r="J3" i="17"/>
  <c r="E15" i="17"/>
  <c r="E14" i="17"/>
  <c r="E13" i="17"/>
  <c r="E12" i="17"/>
  <c r="E11" i="17"/>
  <c r="E10" i="17"/>
  <c r="E8" i="17"/>
  <c r="E7" i="17"/>
  <c r="E6" i="17"/>
  <c r="E5" i="17"/>
  <c r="E4" i="17"/>
  <c r="E3" i="17"/>
  <c r="C28" i="4" l="1"/>
  <c r="H9" i="17" l="1"/>
  <c r="G9" i="17"/>
  <c r="E6" i="5"/>
  <c r="C41" i="4" l="1"/>
  <c r="H4" i="17"/>
  <c r="H3" i="17"/>
  <c r="G4" i="17"/>
  <c r="G3" i="17"/>
  <c r="H8" i="17"/>
  <c r="G8" i="17"/>
  <c r="H7" i="17"/>
  <c r="H6" i="17"/>
  <c r="G7" i="17"/>
  <c r="G6" i="17"/>
  <c r="G5" i="17"/>
  <c r="C15" i="17"/>
  <c r="C14" i="17"/>
  <c r="C13" i="17"/>
  <c r="C12" i="17"/>
  <c r="C11" i="17"/>
  <c r="B15" i="17"/>
  <c r="B14" i="17"/>
  <c r="B13" i="17"/>
  <c r="B12" i="17"/>
  <c r="B11" i="17"/>
  <c r="B10" i="17"/>
  <c r="C6" i="17"/>
  <c r="C5" i="17"/>
  <c r="B8" i="17"/>
  <c r="B7" i="17"/>
  <c r="B6" i="17"/>
  <c r="B5" i="17"/>
  <c r="B4" i="17"/>
  <c r="C3" i="17"/>
  <c r="B1" i="17"/>
  <c r="B3" i="17"/>
  <c r="G3" i="6" l="1"/>
  <c r="G4" i="6" s="1"/>
  <c r="C51" i="13"/>
  <c r="G24" i="6" l="1"/>
  <c r="G23" i="6"/>
  <c r="G22" i="6"/>
  <c r="G21" i="6"/>
  <c r="G20" i="6"/>
  <c r="G19" i="6"/>
  <c r="G18" i="6"/>
  <c r="G17" i="6"/>
  <c r="G16" i="6"/>
  <c r="G15" i="6"/>
  <c r="G14" i="6"/>
  <c r="E46" i="5" l="1"/>
  <c r="E114" i="5"/>
  <c r="E98" i="5"/>
  <c r="E23" i="5"/>
  <c r="G12" i="16"/>
  <c r="G7" i="16"/>
  <c r="E37" i="5" s="1"/>
  <c r="G5" i="16"/>
  <c r="C4" i="16"/>
  <c r="E83" i="5" l="1"/>
  <c r="E106" i="5"/>
  <c r="E84" i="5"/>
  <c r="C16" i="13"/>
  <c r="M41" i="16" l="1"/>
  <c r="M40" i="16"/>
  <c r="M39" i="16"/>
  <c r="M38" i="16"/>
  <c r="M37" i="16"/>
  <c r="M36" i="16"/>
  <c r="M35" i="16"/>
  <c r="M34" i="16"/>
  <c r="C47" i="3"/>
  <c r="G4" i="16"/>
  <c r="G11" i="16"/>
  <c r="E45" i="5" s="1"/>
  <c r="G10" i="16"/>
  <c r="G9" i="16"/>
  <c r="E26" i="5" s="1"/>
  <c r="G8" i="16"/>
  <c r="G6" i="16"/>
  <c r="E36" i="5" s="1"/>
  <c r="C73" i="16"/>
  <c r="C74" i="16" s="1"/>
  <c r="F72" i="16"/>
  <c r="F71" i="16"/>
  <c r="F70" i="16"/>
  <c r="F69" i="16"/>
  <c r="F68" i="16"/>
  <c r="F67" i="16"/>
  <c r="F66" i="16"/>
  <c r="F64" i="16"/>
  <c r="F63" i="16"/>
  <c r="F62" i="16"/>
  <c r="F61" i="16"/>
  <c r="A60" i="16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C56" i="16"/>
  <c r="C57" i="16" s="1"/>
  <c r="F54" i="16"/>
  <c r="F53" i="16"/>
  <c r="F52" i="16"/>
  <c r="F51" i="16"/>
  <c r="F49" i="16"/>
  <c r="F48" i="16"/>
  <c r="F47" i="16"/>
  <c r="F46" i="16"/>
  <c r="A45" i="16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C41" i="16"/>
  <c r="C42" i="16" s="1"/>
  <c r="F39" i="16"/>
  <c r="F38" i="16"/>
  <c r="F37" i="16"/>
  <c r="F36" i="16"/>
  <c r="F34" i="16"/>
  <c r="I33" i="16"/>
  <c r="F33" i="16"/>
  <c r="I32" i="16"/>
  <c r="F32" i="16"/>
  <c r="I31" i="16"/>
  <c r="F31" i="16"/>
  <c r="I30" i="16"/>
  <c r="A30" i="16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I29" i="16"/>
  <c r="I28" i="16"/>
  <c r="I27" i="16"/>
  <c r="I26" i="16"/>
  <c r="C26" i="16"/>
  <c r="C27" i="16" s="1"/>
  <c r="F25" i="16"/>
  <c r="F24" i="16"/>
  <c r="F23" i="16"/>
  <c r="F22" i="16"/>
  <c r="F20" i="16"/>
  <c r="F19" i="16"/>
  <c r="F18" i="16"/>
  <c r="F17" i="16"/>
  <c r="A16" i="16"/>
  <c r="A17" i="16" s="1"/>
  <c r="A18" i="16" s="1"/>
  <c r="A19" i="16" s="1"/>
  <c r="A20" i="16" s="1"/>
  <c r="A21" i="16" s="1"/>
  <c r="A22" i="16" s="1"/>
  <c r="A23" i="16" s="1"/>
  <c r="A24" i="16" s="1"/>
  <c r="A25" i="16" s="1"/>
  <c r="A5" i="16"/>
  <c r="A6" i="16" s="1"/>
  <c r="A8" i="16" s="1"/>
  <c r="A9" i="16" s="1"/>
  <c r="A10" i="16" s="1"/>
  <c r="A11" i="16" s="1"/>
  <c r="A12" i="16" s="1"/>
  <c r="C14" i="16" l="1"/>
  <c r="C59" i="16" s="1"/>
  <c r="C44" i="16" l="1"/>
  <c r="G52" i="16" s="1"/>
  <c r="C15" i="16"/>
  <c r="G25" i="16" s="1"/>
  <c r="C29" i="16"/>
  <c r="G38" i="16" s="1"/>
  <c r="G72" i="16"/>
  <c r="E72" i="16"/>
  <c r="J33" i="16" s="1"/>
  <c r="G71" i="16"/>
  <c r="E71" i="16"/>
  <c r="J32" i="16" s="1"/>
  <c r="G70" i="16"/>
  <c r="E70" i="16"/>
  <c r="G69" i="16"/>
  <c r="E69" i="16"/>
  <c r="G68" i="16"/>
  <c r="E68" i="16"/>
  <c r="G67" i="16"/>
  <c r="E67" i="16"/>
  <c r="J31" i="16" s="1"/>
  <c r="G66" i="16"/>
  <c r="E66" i="16"/>
  <c r="J30" i="16" s="1"/>
  <c r="G65" i="16"/>
  <c r="E65" i="16"/>
  <c r="G64" i="16"/>
  <c r="E64" i="16"/>
  <c r="G63" i="16"/>
  <c r="E63" i="16"/>
  <c r="G62" i="16"/>
  <c r="E62" i="16"/>
  <c r="G61" i="16"/>
  <c r="E61" i="16"/>
  <c r="G60" i="16"/>
  <c r="E60" i="16"/>
  <c r="G53" i="16" l="1"/>
  <c r="E54" i="16"/>
  <c r="E20" i="16"/>
  <c r="E47" i="16"/>
  <c r="G47" i="16"/>
  <c r="E48" i="16"/>
  <c r="E53" i="16"/>
  <c r="G34" i="16"/>
  <c r="E49" i="16"/>
  <c r="E22" i="16"/>
  <c r="J22" i="16" s="1"/>
  <c r="K22" i="16" s="1"/>
  <c r="G49" i="16"/>
  <c r="E23" i="16"/>
  <c r="E39" i="16"/>
  <c r="G20" i="16"/>
  <c r="E21" i="16"/>
  <c r="G48" i="16"/>
  <c r="G40" i="16"/>
  <c r="E16" i="16"/>
  <c r="E33" i="16"/>
  <c r="G39" i="16"/>
  <c r="E34" i="16"/>
  <c r="G54" i="16"/>
  <c r="G55" i="16"/>
  <c r="G22" i="16"/>
  <c r="E50" i="16"/>
  <c r="G30" i="16"/>
  <c r="G23" i="16"/>
  <c r="G37" i="16"/>
  <c r="G24" i="16"/>
  <c r="E40" i="16"/>
  <c r="J26" i="16" s="1"/>
  <c r="K26" i="16" s="1"/>
  <c r="G21" i="16"/>
  <c r="E55" i="16"/>
  <c r="J29" i="16" s="1"/>
  <c r="K29" i="16" s="1"/>
  <c r="G16" i="16"/>
  <c r="E30" i="16"/>
  <c r="E17" i="16"/>
  <c r="G50" i="16"/>
  <c r="G17" i="16"/>
  <c r="E45" i="16"/>
  <c r="E31" i="16"/>
  <c r="E18" i="16"/>
  <c r="G31" i="16"/>
  <c r="E46" i="16"/>
  <c r="E52" i="16"/>
  <c r="E32" i="16"/>
  <c r="E38" i="16"/>
  <c r="E19" i="16"/>
  <c r="E25" i="16"/>
  <c r="G33" i="16"/>
  <c r="E35" i="16"/>
  <c r="G35" i="16"/>
  <c r="E36" i="16"/>
  <c r="J27" i="16" s="1"/>
  <c r="K27" i="16" s="1"/>
  <c r="G36" i="16"/>
  <c r="E51" i="16"/>
  <c r="J28" i="16" s="1"/>
  <c r="K28" i="16" s="1"/>
  <c r="E37" i="16"/>
  <c r="E24" i="16"/>
  <c r="G45" i="16"/>
  <c r="G51" i="16"/>
  <c r="G18" i="16"/>
  <c r="G46" i="16"/>
  <c r="G32" i="16"/>
  <c r="G19" i="16"/>
  <c r="G59" i="16"/>
  <c r="F59" i="16" s="1"/>
  <c r="K30" i="16"/>
  <c r="M30" i="16"/>
  <c r="K31" i="16"/>
  <c r="M31" i="16"/>
  <c r="K32" i="16"/>
  <c r="M32" i="16"/>
  <c r="K33" i="16"/>
  <c r="M33" i="16"/>
  <c r="J20" i="16" l="1"/>
  <c r="M20" i="16" s="1"/>
  <c r="J24" i="16"/>
  <c r="K24" i="16" s="1"/>
  <c r="E74" i="5"/>
  <c r="M22" i="16"/>
  <c r="J18" i="16"/>
  <c r="M18" i="16" s="1"/>
  <c r="G15" i="16"/>
  <c r="F15" i="16" s="1"/>
  <c r="J19" i="16"/>
  <c r="M19" i="16" s="1"/>
  <c r="J16" i="16"/>
  <c r="K16" i="16" s="1"/>
  <c r="J21" i="16"/>
  <c r="M21" i="16" s="1"/>
  <c r="J17" i="16"/>
  <c r="K17" i="16" s="1"/>
  <c r="E71" i="5"/>
  <c r="M27" i="16"/>
  <c r="M26" i="16"/>
  <c r="J25" i="16"/>
  <c r="K25" i="16" s="1"/>
  <c r="G29" i="16"/>
  <c r="F29" i="16" s="1"/>
  <c r="E63" i="5"/>
  <c r="M29" i="16"/>
  <c r="G44" i="16"/>
  <c r="F44" i="16" s="1"/>
  <c r="J23" i="16"/>
  <c r="M23" i="16" s="1"/>
  <c r="E72" i="5"/>
  <c r="M28" i="16"/>
  <c r="E87" i="5"/>
  <c r="K20" i="16"/>
  <c r="K18" i="16"/>
  <c r="M24" i="16" l="1"/>
  <c r="M25" i="16"/>
  <c r="M17" i="16"/>
  <c r="K19" i="16"/>
  <c r="K21" i="16"/>
  <c r="E97" i="5"/>
  <c r="G14" i="16"/>
  <c r="F14" i="16" s="1"/>
  <c r="M16" i="16"/>
  <c r="K23" i="16"/>
  <c r="E20" i="5" l="1"/>
  <c r="C31" i="3" l="1"/>
  <c r="C24" i="3"/>
  <c r="E19" i="5" l="1"/>
  <c r="E120" i="5" l="1"/>
  <c r="E101" i="5" l="1"/>
  <c r="C22" i="9"/>
  <c r="C75" i="2" l="1"/>
  <c r="E11" i="5" l="1"/>
  <c r="E113" i="5"/>
  <c r="C18" i="15" l="1"/>
  <c r="C19" i="15" s="1"/>
  <c r="C20" i="15" s="1"/>
  <c r="C21" i="15" s="1"/>
  <c r="C17" i="14"/>
  <c r="C18" i="14" s="1"/>
  <c r="C19" i="14" s="1"/>
  <c r="C20" i="14" s="1"/>
  <c r="C13" i="15" l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C12" i="14"/>
  <c r="C14" i="14" l="1"/>
  <c r="C15" i="14" s="1"/>
  <c r="C15" i="15"/>
  <c r="C16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E99" i="5" l="1"/>
  <c r="C39" i="13" l="1"/>
  <c r="E24" i="5" l="1"/>
  <c r="E44" i="5" l="1"/>
  <c r="C4" i="12" l="1"/>
  <c r="C45" i="12"/>
  <c r="C33" i="12"/>
  <c r="C13" i="12"/>
  <c r="C12" i="12"/>
  <c r="E5" i="5" l="1"/>
  <c r="E42" i="5" l="1"/>
  <c r="K3" i="6"/>
  <c r="K4" i="6" s="1"/>
  <c r="E105" i="5" l="1"/>
  <c r="E55" i="5"/>
  <c r="E7" i="5" l="1"/>
  <c r="E75" i="5" l="1"/>
  <c r="C64" i="9"/>
  <c r="E29" i="5" l="1"/>
  <c r="C52" i="9"/>
  <c r="C18" i="9" l="1"/>
  <c r="C17" i="9"/>
  <c r="C37" i="6" l="1"/>
  <c r="C44" i="6"/>
  <c r="C35" i="2" l="1"/>
  <c r="C40" i="9" l="1"/>
  <c r="E25" i="5" l="1"/>
  <c r="E85" i="5" l="1"/>
  <c r="E86" i="5"/>
  <c r="E77" i="5"/>
  <c r="E31" i="5"/>
  <c r="C4" i="2"/>
  <c r="C11" i="1"/>
  <c r="E18" i="5" l="1"/>
  <c r="E17" i="5"/>
  <c r="E13" i="5"/>
  <c r="E14" i="5"/>
  <c r="E12" i="5"/>
  <c r="E43" i="5"/>
  <c r="E15" i="5"/>
  <c r="E9" i="5"/>
  <c r="E52" i="5"/>
  <c r="E34" i="5"/>
  <c r="E56" i="5"/>
  <c r="E123" i="5"/>
  <c r="E16" i="5"/>
  <c r="E10" i="5"/>
  <c r="E50" i="5"/>
  <c r="E41" i="5" l="1"/>
  <c r="E51" i="5"/>
  <c r="E47" i="5"/>
  <c r="E49" i="5"/>
  <c r="E22" i="5"/>
  <c r="E81" i="5"/>
  <c r="E65" i="5"/>
  <c r="E68" i="5"/>
  <c r="E109" i="5"/>
  <c r="E88" i="5"/>
  <c r="E122" i="5"/>
  <c r="E107" i="5" l="1"/>
  <c r="E54" i="5"/>
  <c r="E33" i="5"/>
  <c r="E58" i="5"/>
  <c r="E121" i="5"/>
  <c r="E111" i="5"/>
  <c r="E116" i="5"/>
  <c r="E118" i="5"/>
  <c r="E69" i="5"/>
  <c r="E108" i="5"/>
  <c r="E62" i="5" l="1"/>
  <c r="E32" i="5"/>
  <c r="E91" i="5"/>
  <c r="E53" i="5"/>
  <c r="E80" i="5"/>
  <c r="E112" i="5"/>
  <c r="E104" i="5"/>
  <c r="E73" i="5"/>
  <c r="E79" i="5"/>
  <c r="E100" i="5"/>
  <c r="E28" i="5"/>
  <c r="E21" i="5"/>
  <c r="E30" i="5"/>
  <c r="E4" i="5"/>
  <c r="E27" i="5"/>
  <c r="L50" i="2" l="1"/>
  <c r="E57" i="5"/>
  <c r="E92" i="5"/>
  <c r="E117" i="5"/>
  <c r="E110" i="5"/>
  <c r="E115" i="5"/>
  <c r="E119" i="5"/>
  <c r="G7" i="6" l="1"/>
  <c r="E40" i="5" s="1"/>
  <c r="G9" i="6" l="1"/>
  <c r="G8" i="6"/>
  <c r="G5" i="6"/>
  <c r="E8" i="5" s="1"/>
  <c r="G10" i="6"/>
  <c r="E48" i="5" s="1"/>
  <c r="G6" i="6"/>
  <c r="E35" i="5" s="1"/>
  <c r="E66" i="5" l="1"/>
  <c r="E60" i="5"/>
  <c r="J22" i="6"/>
  <c r="J23" i="6"/>
  <c r="J14" i="6"/>
  <c r="E96" i="5"/>
  <c r="J17" i="6"/>
  <c r="E102" i="5"/>
  <c r="J21" i="6"/>
  <c r="E78" i="5"/>
  <c r="E90" i="5"/>
  <c r="J18" i="6"/>
  <c r="J15" i="6" l="1"/>
  <c r="E59" i="5"/>
  <c r="E82" i="5"/>
  <c r="E76" i="5"/>
  <c r="E61" i="5"/>
  <c r="E70" i="5"/>
  <c r="E124" i="5"/>
  <c r="E103" i="5"/>
  <c r="E93" i="5"/>
  <c r="E89" i="5"/>
  <c r="E95" i="5"/>
  <c r="E6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PRODUCCION</author>
    <author>PERSONAL</author>
  </authors>
  <commentList>
    <comment ref="F21" authorId="0" shapeId="0" xr:uid="{2233A8C4-9D9F-4E05-A5B1-11FDA277996D}">
      <text>
        <r>
          <rPr>
            <b/>
            <sz val="9"/>
            <color indexed="81"/>
            <rFont val="Tahoma"/>
            <family val="2"/>
          </rPr>
          <t>Upon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1" shapeId="0" xr:uid="{00000000-0006-0000-0100-000001000000}">
      <text>
        <r>
          <rPr>
            <b/>
            <sz val="9"/>
            <color indexed="81"/>
            <rFont val="Tahoma"/>
            <family val="2"/>
          </rPr>
          <t>Incluido el picante de la papa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PRODUCCION</author>
  </authors>
  <commentList>
    <comment ref="F3" authorId="0" shapeId="0" xr:uid="{30448C23-E03B-442B-B2BA-FCA8BE8552AE}">
      <text>
        <r>
          <rPr>
            <sz val="9"/>
            <color indexed="81"/>
            <rFont val="Tahoma"/>
            <family val="2"/>
          </rPr>
          <t xml:space="preserve">Saldo del Upon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PRODUCCION</author>
  </authors>
  <commentList>
    <comment ref="I3" authorId="0" shapeId="0" xr:uid="{84724111-9A79-4132-A111-E284E34856F6}">
      <text>
        <r>
          <rPr>
            <b/>
            <sz val="9"/>
            <color indexed="81"/>
            <rFont val="Tahoma"/>
            <family val="2"/>
          </rPr>
          <t>Cajas de 240 unidades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PRODUCCION</author>
  </authors>
  <commentList>
    <comment ref="A3" authorId="0" shapeId="0" xr:uid="{C2EDDD77-C27B-49B8-819B-A088FD511E64}">
      <text>
        <r>
          <rPr>
            <b/>
            <sz val="9"/>
            <color indexed="81"/>
            <rFont val="Tahoma"/>
            <family val="2"/>
          </rPr>
          <t>Grupo:
100 Semilla
200 Nacho
300 Papa
400 Galletas</t>
        </r>
        <r>
          <rPr>
            <sz val="9"/>
            <color indexed="81"/>
            <rFont val="Tahoma"/>
            <family val="2"/>
          </rPr>
          <t xml:space="preserve">
500 Extruidos
600 General</t>
        </r>
      </text>
    </comment>
  </commentList>
</comments>
</file>

<file path=xl/sharedStrings.xml><?xml version="1.0" encoding="utf-8"?>
<sst xmlns="http://schemas.openxmlformats.org/spreadsheetml/2006/main" count="1186" uniqueCount="331">
  <si>
    <t>Pipanax 11x26</t>
  </si>
  <si>
    <t>Cant</t>
  </si>
  <si>
    <t>Saldo</t>
  </si>
  <si>
    <t>Actual</t>
  </si>
  <si>
    <t>A producir</t>
  </si>
  <si>
    <t>Semilla Tostada</t>
  </si>
  <si>
    <t>Kg</t>
  </si>
  <si>
    <t>Bobina Semillón</t>
  </si>
  <si>
    <t>Bolsa Jaba Semillón</t>
  </si>
  <si>
    <t>Pipanax 15x30</t>
  </si>
  <si>
    <t>Bobina Bicolor</t>
  </si>
  <si>
    <t>Bolsa Jaba Bicolor</t>
  </si>
  <si>
    <t>Bolsa Empaque Bicolor</t>
  </si>
  <si>
    <t>Bolsa Empaque Semillón</t>
  </si>
  <si>
    <t>Jab</t>
  </si>
  <si>
    <t>Rol</t>
  </si>
  <si>
    <t>Rendim</t>
  </si>
  <si>
    <t>/jaba</t>
  </si>
  <si>
    <t>Harina de Trigo</t>
  </si>
  <si>
    <t>Maltodextrina</t>
  </si>
  <si>
    <t>Semilla de Girasol</t>
  </si>
  <si>
    <t>Sal</t>
  </si>
  <si>
    <t>Goma Xanthan</t>
  </si>
  <si>
    <t>Nachonax Sal 50g</t>
  </si>
  <si>
    <t>Nachonax Pic 50g</t>
  </si>
  <si>
    <t xml:space="preserve">Nachonax 600g </t>
  </si>
  <si>
    <t>/caja</t>
  </si>
  <si>
    <t>Cja</t>
  </si>
  <si>
    <t>Nacho Frito</t>
  </si>
  <si>
    <t>Sabor Salado</t>
  </si>
  <si>
    <t>Bobina Nacho Sal 50g</t>
  </si>
  <si>
    <t>Tiras</t>
  </si>
  <si>
    <t>Cajas cartón grandes</t>
  </si>
  <si>
    <t>Cajas Cartón medianas</t>
  </si>
  <si>
    <t>Cinta adhesiva Tartan</t>
  </si>
  <si>
    <t>Cinta adhesiva común</t>
  </si>
  <si>
    <t>Sabor Picante</t>
  </si>
  <si>
    <t>Bobina Nacho Pic 21g</t>
  </si>
  <si>
    <t>Pza</t>
  </si>
  <si>
    <t>Maiz</t>
  </si>
  <si>
    <t>Aceite</t>
  </si>
  <si>
    <t>Antioxidante</t>
  </si>
  <si>
    <t>Cal</t>
  </si>
  <si>
    <t>Glutamato Monosodico</t>
  </si>
  <si>
    <t>Acido Cítrico</t>
  </si>
  <si>
    <t>Sazón Llajwa</t>
  </si>
  <si>
    <t>Sazón Picante</t>
  </si>
  <si>
    <t>Sazón Locoto</t>
  </si>
  <si>
    <t>Papa Frita</t>
  </si>
  <si>
    <t>Bobina Papa Sal 20g</t>
  </si>
  <si>
    <t>Bobina Papa Pic 20g</t>
  </si>
  <si>
    <t>Papa</t>
  </si>
  <si>
    <t>Tocinax</t>
  </si>
  <si>
    <t>Jba</t>
  </si>
  <si>
    <t>Tocino</t>
  </si>
  <si>
    <t>Bobina Tocinax</t>
  </si>
  <si>
    <t>/Jaba</t>
  </si>
  <si>
    <t>Megablon</t>
  </si>
  <si>
    <t>/Caja</t>
  </si>
  <si>
    <t>Caja</t>
  </si>
  <si>
    <t>Galleta Megablon</t>
  </si>
  <si>
    <t>Bobina Megablon</t>
  </si>
  <si>
    <t>Bolsa Megablon</t>
  </si>
  <si>
    <t>Caja Megablon</t>
  </si>
  <si>
    <t>Crema Vainilla</t>
  </si>
  <si>
    <t>Cobertura chocolate</t>
  </si>
  <si>
    <t>Cantidad</t>
  </si>
  <si>
    <t>Total</t>
  </si>
  <si>
    <t>MATERIA PRIMA</t>
  </si>
  <si>
    <t>Azúcar</t>
  </si>
  <si>
    <t>Bicarbonato de Amonio</t>
  </si>
  <si>
    <t>Esencia de Vainilla</t>
  </si>
  <si>
    <t>Fecula de Yuca</t>
  </si>
  <si>
    <t xml:space="preserve">Harina Trigo </t>
  </si>
  <si>
    <t>Lecitina de Soya</t>
  </si>
  <si>
    <t>Polvo de Hornear</t>
  </si>
  <si>
    <t>Cobertura Chocolate</t>
  </si>
  <si>
    <t>AZÚCAR</t>
  </si>
  <si>
    <t>CACAO</t>
  </si>
  <si>
    <t>ESENCIA CHOCOLATE</t>
  </si>
  <si>
    <t>ESENCIA VAINILLA</t>
  </si>
  <si>
    <t>LECITINA DE SOYA</t>
  </si>
  <si>
    <t>PGPR</t>
  </si>
  <si>
    <t>VERSILAC</t>
  </si>
  <si>
    <t>Bicarbonato de amonio</t>
  </si>
  <si>
    <t>Esencia Chocolate</t>
  </si>
  <si>
    <t>Esencia Vainilla</t>
  </si>
  <si>
    <t>Fécula de Yuca</t>
  </si>
  <si>
    <t>Manteca Repostera</t>
  </si>
  <si>
    <t>Cacao</t>
  </si>
  <si>
    <t>Versilac</t>
  </si>
  <si>
    <t>Manteca CBS</t>
  </si>
  <si>
    <t>Bobina Nacho Sal 200g</t>
  </si>
  <si>
    <t>Bobina Nacho 200g</t>
  </si>
  <si>
    <t>Galleta Escuelin</t>
  </si>
  <si>
    <t>Caja Escuelin</t>
  </si>
  <si>
    <t>Bobina Escuelin Negro</t>
  </si>
  <si>
    <t>Bobina Escuelin Blanco</t>
  </si>
  <si>
    <t>Crema Dulce de Leche</t>
  </si>
  <si>
    <t>Cobertura chocolate negro</t>
  </si>
  <si>
    <t>Cobertura chocolate blanco</t>
  </si>
  <si>
    <t>Galleta Escuelin negro</t>
  </si>
  <si>
    <t>Galleta Escuelin blanco</t>
  </si>
  <si>
    <t>Harina</t>
  </si>
  <si>
    <t>Almidon de Maíz</t>
  </si>
  <si>
    <t>Lecitina soya</t>
  </si>
  <si>
    <t>Colorante Caramelo</t>
  </si>
  <si>
    <t>Cobertura Chocolate Negro</t>
  </si>
  <si>
    <t>Leche entera</t>
  </si>
  <si>
    <t>Lecitina de soya</t>
  </si>
  <si>
    <t>Dióxido de Titanio</t>
  </si>
  <si>
    <t>Propionato de Calcio</t>
  </si>
  <si>
    <t>Cobertura Chocolate Blanco</t>
  </si>
  <si>
    <t>Dulce de Leche</t>
  </si>
  <si>
    <t>Esencia Dulce de Leche</t>
  </si>
  <si>
    <t>Sorbato de Potasio</t>
  </si>
  <si>
    <t>Fécula de Maíz</t>
  </si>
  <si>
    <t>Leche en Polvo</t>
  </si>
  <si>
    <t>Unidad</t>
  </si>
  <si>
    <t>Rollo</t>
  </si>
  <si>
    <t>Esencia Naranja</t>
  </si>
  <si>
    <t>Bobina Nacho Sal 600g</t>
  </si>
  <si>
    <t>Bobina Nacho 600g</t>
  </si>
  <si>
    <t>Colorante Tartrazina</t>
  </si>
  <si>
    <t xml:space="preserve">Esencia Vainilla </t>
  </si>
  <si>
    <t>por concha</t>
  </si>
  <si>
    <t>por preparación</t>
  </si>
  <si>
    <t>por Concha</t>
  </si>
  <si>
    <t>Masas</t>
  </si>
  <si>
    <t>Cuñapé</t>
  </si>
  <si>
    <t>Bobina Cuñapé</t>
  </si>
  <si>
    <t xml:space="preserve">Cajas </t>
  </si>
  <si>
    <t>Galleta Cuñapé</t>
  </si>
  <si>
    <t>Almidón de Yuca</t>
  </si>
  <si>
    <t>Queso</t>
  </si>
  <si>
    <t>Leche en polvo</t>
  </si>
  <si>
    <t xml:space="preserve">Azúcar </t>
  </si>
  <si>
    <t>Polvo de hornear</t>
  </si>
  <si>
    <t>Masa</t>
  </si>
  <si>
    <t>QUESO</t>
  </si>
  <si>
    <t>Bolsa Jaba Escuelin 66x115</t>
  </si>
  <si>
    <t>Bolsa Jaba 66x115</t>
  </si>
  <si>
    <t>Manteca Karina F</t>
  </si>
  <si>
    <t>Choconax</t>
  </si>
  <si>
    <t>Cajas/masa</t>
  </si>
  <si>
    <t>Galleta Choconax</t>
  </si>
  <si>
    <t>Bobina Choconax</t>
  </si>
  <si>
    <t>Caja Choconax</t>
  </si>
  <si>
    <t>Bobina alfajor choconax</t>
  </si>
  <si>
    <t>Caja cartulina Choconax</t>
  </si>
  <si>
    <t>Miel de caña</t>
  </si>
  <si>
    <t>Código</t>
  </si>
  <si>
    <t>Glucosa</t>
  </si>
  <si>
    <t>LECHE EN POLVO</t>
  </si>
  <si>
    <t>Manteca Karina "D"</t>
  </si>
  <si>
    <t>Manteca Karina D</t>
  </si>
  <si>
    <t>Nachonax Sal 200g</t>
  </si>
  <si>
    <t>Nachonax Pic 200g</t>
  </si>
  <si>
    <t>Bobina Nacho Pic 200g</t>
  </si>
  <si>
    <t>Chocolate blanco</t>
  </si>
  <si>
    <t>Chocolate Negro</t>
  </si>
  <si>
    <t>Chocolate Blanco</t>
  </si>
  <si>
    <t>Bobina Nacho 200g Picante</t>
  </si>
  <si>
    <t>Caja Escuelin Desayuno</t>
  </si>
  <si>
    <t>Azúcar molida</t>
  </si>
  <si>
    <t>Azúcar granulada</t>
  </si>
  <si>
    <t>Manteca</t>
  </si>
  <si>
    <t>Azucar Invertida</t>
  </si>
  <si>
    <t>Lecitina</t>
  </si>
  <si>
    <t>Bobina Escuelin Desayuno</t>
  </si>
  <si>
    <t>GALLETA DE MANTEQUILLA</t>
  </si>
  <si>
    <t>Azúcar Molida</t>
  </si>
  <si>
    <t>Margarina</t>
  </si>
  <si>
    <t>Agua</t>
  </si>
  <si>
    <t>Miel de Caña</t>
  </si>
  <si>
    <t>Esencia Mantequilla</t>
  </si>
  <si>
    <t>Rendimiento</t>
  </si>
  <si>
    <t>Galleta</t>
  </si>
  <si>
    <t>GALLETA DE JENGIBRE</t>
  </si>
  <si>
    <t>Jengibre</t>
  </si>
  <si>
    <t xml:space="preserve">Esencia Clavo Canela </t>
  </si>
  <si>
    <t>Producción</t>
  </si>
  <si>
    <t>galletas</t>
  </si>
  <si>
    <t>g</t>
  </si>
  <si>
    <t>Esencia Clavo Canela</t>
  </si>
  <si>
    <t>Bobina Nacho Pic 50g</t>
  </si>
  <si>
    <t>Bobina Escuelin Rojo</t>
  </si>
  <si>
    <t>Nachonax Queso 50g</t>
  </si>
  <si>
    <t>Sabor Queso</t>
  </si>
  <si>
    <t>Bobina Nacho Queso</t>
  </si>
  <si>
    <t>Bobina Nacho Queso 50g</t>
  </si>
  <si>
    <t>Sazón Queso Cheddar</t>
  </si>
  <si>
    <t>SABOR QUESO CHEDDAR 08-PC1008-46</t>
  </si>
  <si>
    <t>AJI NO MOTO</t>
  </si>
  <si>
    <t>MALTODEXTRINA</t>
  </si>
  <si>
    <t>SAL</t>
  </si>
  <si>
    <t>Huevo en polvo</t>
  </si>
  <si>
    <t>Huevo en Polvo</t>
  </si>
  <si>
    <t>Papanax Sal 110g</t>
  </si>
  <si>
    <t>Bobina Papa Sal 110g</t>
  </si>
  <si>
    <t>Papanax Pic 110g</t>
  </si>
  <si>
    <t>Bobina Papa Pic 110g</t>
  </si>
  <si>
    <t>Sabor Picante Fuego</t>
  </si>
  <si>
    <t>Bobina Papa fuego</t>
  </si>
  <si>
    <t>SAZÓN PICANTE BLOCH</t>
  </si>
  <si>
    <t>LLAJWA EN POLVO BLOCH</t>
  </si>
  <si>
    <t>LOCOTO EN POLVO</t>
  </si>
  <si>
    <t>PAPRIKA (PIMENTÓN ROJO MOLIDO)</t>
  </si>
  <si>
    <t>AJINOMOTO</t>
  </si>
  <si>
    <t>ÁCIDO CÍTRICO</t>
  </si>
  <si>
    <t>Bobina Papa Fuego 20g</t>
  </si>
  <si>
    <t>Paprika</t>
  </si>
  <si>
    <t>Bolsa Jaba Semillon</t>
  </si>
  <si>
    <t>Azúcar Invertido</t>
  </si>
  <si>
    <t>Esencia Coco</t>
  </si>
  <si>
    <t>Coco Rallado</t>
  </si>
  <si>
    <t>COSTO CASA NAVIDEÑA 400g</t>
  </si>
  <si>
    <t>C.Total</t>
  </si>
  <si>
    <t>Galleta surtida</t>
  </si>
  <si>
    <t>pza</t>
  </si>
  <si>
    <t>Etiqueta o  tarjeta</t>
  </si>
  <si>
    <t>Bobina</t>
  </si>
  <si>
    <t>Lazo rojo</t>
  </si>
  <si>
    <t>cm</t>
  </si>
  <si>
    <t>Caja de Cartón</t>
  </si>
  <si>
    <t>Galleta Surtida</t>
  </si>
  <si>
    <t>MEGABLON</t>
  </si>
  <si>
    <t>Mantequilla</t>
  </si>
  <si>
    <t>Total Seco</t>
  </si>
  <si>
    <t>Coco</t>
  </si>
  <si>
    <t>Chocolate</t>
  </si>
  <si>
    <t>Casas 400g</t>
  </si>
  <si>
    <t>m</t>
  </si>
  <si>
    <t>Kg Real</t>
  </si>
  <si>
    <t>Casa Navideña 400g</t>
  </si>
  <si>
    <t>Bobina Transparente (Navid)</t>
  </si>
  <si>
    <t>Papanax Fuego 110g</t>
  </si>
  <si>
    <t>Sabor Fuego</t>
  </si>
  <si>
    <t>Bobina Papa Fuego 110g</t>
  </si>
  <si>
    <t>Casa Navideña 100g</t>
  </si>
  <si>
    <t>Casas 100g</t>
  </si>
  <si>
    <t>Caja Casa Navideña 400</t>
  </si>
  <si>
    <t>Caja Casa Navideña 100</t>
  </si>
  <si>
    <t>MIX 45g</t>
  </si>
  <si>
    <t>Mix</t>
  </si>
  <si>
    <t>Cinta Tartan</t>
  </si>
  <si>
    <t>Bobina Mix 45g</t>
  </si>
  <si>
    <t>Mix Palmex</t>
  </si>
  <si>
    <t>Manteca Karina "F"</t>
  </si>
  <si>
    <t>cja</t>
  </si>
  <si>
    <t>Kurkure</t>
  </si>
  <si>
    <t>Conchita</t>
  </si>
  <si>
    <t>Cajas grandes</t>
  </si>
  <si>
    <t>Gritz Maiz</t>
  </si>
  <si>
    <t>Conchita Extruido</t>
  </si>
  <si>
    <t>Harina de Maiz</t>
  </si>
  <si>
    <t>Azucar</t>
  </si>
  <si>
    <t>Gritz de Maiz</t>
  </si>
  <si>
    <t>Sazón Picante Preparada</t>
  </si>
  <si>
    <t>Sazón Salada Preparada</t>
  </si>
  <si>
    <t xml:space="preserve">Recibido </t>
  </si>
  <si>
    <t>Conforme</t>
  </si>
  <si>
    <t>Cant.</t>
  </si>
  <si>
    <t>Entrega</t>
  </si>
  <si>
    <t>Sazón Papa Fuego Preparada</t>
  </si>
  <si>
    <t>Papanax Sal 25g</t>
  </si>
  <si>
    <t xml:space="preserve">Papanax Pic 25g </t>
  </si>
  <si>
    <t xml:space="preserve">Papanax Fuego 25g </t>
  </si>
  <si>
    <t>Escuelin X 60</t>
  </si>
  <si>
    <t>Alfajor Desayuno</t>
  </si>
  <si>
    <t>=REDONDEAR(G4/120;0)</t>
  </si>
  <si>
    <t>Cinta común</t>
  </si>
  <si>
    <t>Conchita extruido</t>
  </si>
  <si>
    <t>Bobina Booho 35g</t>
  </si>
  <si>
    <t>Bobina Booho</t>
  </si>
  <si>
    <t>Bobina Desayuno</t>
  </si>
  <si>
    <t>jba</t>
  </si>
  <si>
    <t>Sazón queso cheddar</t>
  </si>
  <si>
    <t>Saldo ant.</t>
  </si>
  <si>
    <t>Saldo act.</t>
  </si>
  <si>
    <t>Nachonax queso 50g</t>
  </si>
  <si>
    <t>Booho queso 35g</t>
  </si>
  <si>
    <t>Cajas cartón grandes usadas</t>
  </si>
  <si>
    <t>Pack Ferial</t>
  </si>
  <si>
    <t>Bolsa Nax Ferial</t>
  </si>
  <si>
    <t xml:space="preserve">Cajas usadas </t>
  </si>
  <si>
    <t>Papanax Picante 25g</t>
  </si>
  <si>
    <t>Papanax Fuego 25g</t>
  </si>
  <si>
    <t>Papanax Salada 25g</t>
  </si>
  <si>
    <t>Nachonax Salado 50g</t>
  </si>
  <si>
    <t>Nachonax Picante 50g</t>
  </si>
  <si>
    <t>Booho Queso 35g</t>
  </si>
  <si>
    <t>bol</t>
  </si>
  <si>
    <t>UNIDADES SUELTAS PARA EL PACK FERIAL</t>
  </si>
  <si>
    <t>Tapas bolsas</t>
  </si>
  <si>
    <t>Tapa Bolsa Nax Ferial</t>
  </si>
  <si>
    <t>Grupo</t>
  </si>
  <si>
    <t>Sal Galleta</t>
  </si>
  <si>
    <t>Sal Semilla</t>
  </si>
  <si>
    <t>Sal Nacho</t>
  </si>
  <si>
    <t>Sal Papa</t>
  </si>
  <si>
    <t>Sal Extruidos</t>
  </si>
  <si>
    <t>Harina de Trigo Semilla</t>
  </si>
  <si>
    <t>Harina de Trigo Galleta</t>
  </si>
  <si>
    <t>Tiras Nachos</t>
  </si>
  <si>
    <t>Tiras Papas</t>
  </si>
  <si>
    <t>Tiras Extruidos, Tocinos</t>
  </si>
  <si>
    <t>PLAN PRODUCCIÓN 09 DE OCTUBRE</t>
  </si>
  <si>
    <t>Bolsa Jaba Semillón Nacho</t>
  </si>
  <si>
    <t>Bolsa Jaba Semillón Semilla</t>
  </si>
  <si>
    <t>Bolsa Jaba Semillón Papa</t>
  </si>
  <si>
    <t xml:space="preserve">Bolsa Jaba Semillón Extruidos </t>
  </si>
  <si>
    <t>Cajas cartón grandes Nachos</t>
  </si>
  <si>
    <t>Cajas cartón grandes Extruidos</t>
  </si>
  <si>
    <t>Cajas cartón grandes Galletas</t>
  </si>
  <si>
    <t>Aceite Nacho</t>
  </si>
  <si>
    <t>Aceite Papa</t>
  </si>
  <si>
    <t>Aceite Galleta</t>
  </si>
  <si>
    <t>Aceite Extruidos</t>
  </si>
  <si>
    <t>Acido Cítrico Nacho</t>
  </si>
  <si>
    <t>Acido Cítrico Papa</t>
  </si>
  <si>
    <t>Glutamato Monosodico Nacho</t>
  </si>
  <si>
    <t>Glutamato Monosodico Papa</t>
  </si>
  <si>
    <t>Sazón Llajwa Nacho</t>
  </si>
  <si>
    <t>Sazón Llajwa Papa</t>
  </si>
  <si>
    <t>Sazón Locoto nacho</t>
  </si>
  <si>
    <t>Sazón Locoto Papa</t>
  </si>
  <si>
    <t>Sazón Picante Nacho</t>
  </si>
  <si>
    <t>Sazón Picante Papa</t>
  </si>
  <si>
    <t>Sazón queso Cheddar Prep. Nacho</t>
  </si>
  <si>
    <t>Sazón queso Cheddar Prep.Extrui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</si>
</sst>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D3E2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quotePrefix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1" xfId="0" applyBorder="1"/>
    <xf numFmtId="2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0" fontId="0" fillId="0" borderId="0" xfId="0" applyAlignment="1">
      <alignment horizontal="right"/>
    </xf>
    <xf numFmtId="0" fontId="0" fillId="0" borderId="2" xfId="0" applyBorder="1"/>
    <xf numFmtId="0" fontId="0" fillId="4" borderId="4" xfId="0" applyFill="1" applyBorder="1"/>
    <xf numFmtId="164" fontId="0" fillId="4" borderId="5" xfId="0" applyNumberFormat="1" applyFill="1" applyBorder="1"/>
    <xf numFmtId="0" fontId="0" fillId="4" borderId="6" xfId="0" applyFill="1" applyBorder="1"/>
    <xf numFmtId="164" fontId="0" fillId="4" borderId="7" xfId="0" applyNumberFormat="1" applyFill="1" applyBorder="1"/>
    <xf numFmtId="0" fontId="0" fillId="4" borderId="6" xfId="0" applyFill="1" applyBorder="1" applyAlignment="1">
      <alignment wrapText="1"/>
    </xf>
    <xf numFmtId="164" fontId="4" fillId="4" borderId="7" xfId="0" applyNumberFormat="1" applyFont="1" applyFill="1" applyBorder="1"/>
    <xf numFmtId="0" fontId="0" fillId="4" borderId="0" xfId="0" applyFill="1"/>
    <xf numFmtId="164" fontId="0" fillId="0" borderId="0" xfId="0" applyNumberFormat="1"/>
    <xf numFmtId="2" fontId="0" fillId="5" borderId="0" xfId="0" applyNumberFormat="1" applyFill="1"/>
    <xf numFmtId="4" fontId="0" fillId="0" borderId="1" xfId="0" applyNumberFormat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6" borderId="0" xfId="0" applyFill="1"/>
    <xf numFmtId="2" fontId="0" fillId="6" borderId="1" xfId="0" applyNumberFormat="1" applyFill="1" applyBorder="1"/>
    <xf numFmtId="2" fontId="1" fillId="0" borderId="1" xfId="0" applyNumberFormat="1" applyFont="1" applyBorder="1"/>
    <xf numFmtId="0" fontId="0" fillId="0" borderId="8" xfId="0" applyBorder="1"/>
    <xf numFmtId="2" fontId="1" fillId="0" borderId="0" xfId="0" applyNumberFormat="1" applyFont="1"/>
    <xf numFmtId="0" fontId="0" fillId="0" borderId="0" xfId="0" applyAlignment="1">
      <alignment horizontal="center"/>
    </xf>
    <xf numFmtId="164" fontId="0" fillId="4" borderId="1" xfId="0" applyNumberFormat="1" applyFill="1" applyBorder="1"/>
    <xf numFmtId="164" fontId="0" fillId="0" borderId="1" xfId="0" applyNumberFormat="1" applyBorder="1"/>
    <xf numFmtId="0" fontId="0" fillId="7" borderId="1" xfId="0" applyFill="1" applyBorder="1"/>
    <xf numFmtId="165" fontId="0" fillId="0" borderId="1" xfId="0" applyNumberFormat="1" applyBorder="1"/>
    <xf numFmtId="0" fontId="0" fillId="5" borderId="0" xfId="0" applyFill="1"/>
    <xf numFmtId="2" fontId="0" fillId="0" borderId="0" xfId="0" quotePrefix="1" applyNumberFormat="1"/>
    <xf numFmtId="2" fontId="0" fillId="7" borderId="0" xfId="0" quotePrefix="1" applyNumberFormat="1" applyFill="1"/>
    <xf numFmtId="2" fontId="0" fillId="7" borderId="0" xfId="0" applyNumberFormat="1" applyFill="1"/>
    <xf numFmtId="0" fontId="6" fillId="0" borderId="0" xfId="0" applyFont="1"/>
    <xf numFmtId="2" fontId="6" fillId="0" borderId="0" xfId="0" applyNumberFormat="1" applyFont="1"/>
    <xf numFmtId="0" fontId="0" fillId="0" borderId="9" xfId="0" applyBorder="1"/>
    <xf numFmtId="2" fontId="0" fillId="8" borderId="0" xfId="0" applyNumberFormat="1" applyFill="1"/>
    <xf numFmtId="0" fontId="0" fillId="7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D3E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opLeftCell="A7" zoomScale="115" zoomScaleNormal="115" workbookViewId="0">
      <selection activeCell="H16" sqref="H16"/>
    </sheetView>
  </sheetViews>
  <sheetFormatPr baseColWidth="10" defaultRowHeight="15" x14ac:dyDescent="0.25"/>
  <cols>
    <col min="1" max="1" width="2" customWidth="1"/>
    <col min="2" max="2" width="23.140625" customWidth="1"/>
    <col min="3" max="3" width="6.85546875" customWidth="1"/>
    <col min="4" max="4" width="4.140625" customWidth="1"/>
    <col min="5" max="5" width="8.85546875" customWidth="1"/>
    <col min="6" max="6" width="8.7109375" customWidth="1"/>
  </cols>
  <sheetData>
    <row r="1" spans="1:11" x14ac:dyDescent="0.25">
      <c r="C1" s="2"/>
      <c r="D1" s="2"/>
      <c r="E1" s="2"/>
      <c r="F1" s="2"/>
      <c r="G1" s="2"/>
    </row>
    <row r="2" spans="1:11" x14ac:dyDescent="0.25">
      <c r="C2" s="2" t="s">
        <v>16</v>
      </c>
      <c r="D2" s="2"/>
      <c r="E2" s="2"/>
      <c r="F2" s="2"/>
      <c r="G2" s="2"/>
      <c r="J2" s="2"/>
      <c r="K2" s="2"/>
    </row>
    <row r="3" spans="1:11" x14ac:dyDescent="0.25">
      <c r="A3" s="55" t="s">
        <v>0</v>
      </c>
      <c r="B3" s="28"/>
      <c r="C3" s="4" t="s">
        <v>17</v>
      </c>
      <c r="D3" t="s">
        <v>14</v>
      </c>
      <c r="E3" s="24"/>
      <c r="F3" s="5"/>
      <c r="G3" s="5"/>
    </row>
    <row r="4" spans="1:11" x14ac:dyDescent="0.25">
      <c r="A4" s="3"/>
      <c r="B4" t="s">
        <v>5</v>
      </c>
      <c r="C4">
        <v>15.74</v>
      </c>
      <c r="D4" t="s">
        <v>6</v>
      </c>
      <c r="E4" s="6"/>
      <c r="F4" s="5"/>
      <c r="G4" s="5"/>
    </row>
    <row r="5" spans="1:11" x14ac:dyDescent="0.25">
      <c r="A5" s="3"/>
      <c r="B5" t="s">
        <v>7</v>
      </c>
      <c r="C5">
        <v>0.53</v>
      </c>
      <c r="D5" t="s">
        <v>6</v>
      </c>
      <c r="E5" s="5"/>
      <c r="F5" s="5"/>
      <c r="G5" s="5"/>
    </row>
    <row r="6" spans="1:11" x14ac:dyDescent="0.25">
      <c r="A6" s="3"/>
      <c r="B6" t="s">
        <v>13</v>
      </c>
      <c r="C6">
        <v>0.16</v>
      </c>
      <c r="D6" t="s">
        <v>6</v>
      </c>
      <c r="E6" s="5"/>
      <c r="F6" s="5"/>
      <c r="G6" s="41"/>
    </row>
    <row r="7" spans="1:11" x14ac:dyDescent="0.25">
      <c r="A7" s="3"/>
      <c r="B7" t="s">
        <v>8</v>
      </c>
      <c r="C7">
        <v>0.11</v>
      </c>
      <c r="D7" t="s">
        <v>6</v>
      </c>
      <c r="E7" s="5"/>
      <c r="F7" s="5"/>
      <c r="G7" s="41"/>
    </row>
    <row r="8" spans="1:11" x14ac:dyDescent="0.25">
      <c r="A8" s="3"/>
      <c r="B8" t="s">
        <v>35</v>
      </c>
      <c r="C8">
        <v>1.4999999999999999E-2</v>
      </c>
      <c r="D8" t="s">
        <v>15</v>
      </c>
      <c r="E8" s="5"/>
      <c r="F8" s="5"/>
      <c r="G8" s="5"/>
    </row>
    <row r="9" spans="1:11" x14ac:dyDescent="0.25">
      <c r="A9" s="3"/>
      <c r="E9" s="5"/>
      <c r="F9" s="5"/>
      <c r="G9" s="5"/>
    </row>
    <row r="10" spans="1:11" x14ac:dyDescent="0.25">
      <c r="A10" s="55" t="s">
        <v>9</v>
      </c>
      <c r="B10" s="28"/>
      <c r="D10" t="s">
        <v>14</v>
      </c>
      <c r="E10" s="24"/>
      <c r="F10" s="5"/>
      <c r="G10" s="5"/>
    </row>
    <row r="11" spans="1:11" x14ac:dyDescent="0.25">
      <c r="A11" s="3"/>
      <c r="B11" t="s">
        <v>5</v>
      </c>
      <c r="C11">
        <f>15*30*12/1000</f>
        <v>5.4</v>
      </c>
      <c r="D11" t="s">
        <v>6</v>
      </c>
      <c r="E11" s="5"/>
      <c r="F11" s="5"/>
      <c r="G11" s="5"/>
    </row>
    <row r="12" spans="1:11" x14ac:dyDescent="0.25">
      <c r="A12" s="3"/>
      <c r="B12" t="s">
        <v>10</v>
      </c>
      <c r="C12">
        <v>0.33</v>
      </c>
      <c r="D12" t="s">
        <v>6</v>
      </c>
      <c r="E12" s="5"/>
      <c r="F12" s="5"/>
      <c r="G12" s="5"/>
    </row>
    <row r="13" spans="1:11" x14ac:dyDescent="0.25">
      <c r="A13" s="3"/>
      <c r="B13" t="s">
        <v>12</v>
      </c>
      <c r="C13">
        <v>0.13</v>
      </c>
      <c r="D13" t="s">
        <v>6</v>
      </c>
      <c r="E13" s="5"/>
      <c r="F13" s="5"/>
      <c r="G13" s="5"/>
    </row>
    <row r="14" spans="1:11" x14ac:dyDescent="0.25">
      <c r="A14" s="3"/>
      <c r="B14" t="s">
        <v>11</v>
      </c>
      <c r="C14">
        <v>0.11</v>
      </c>
      <c r="D14" t="s">
        <v>6</v>
      </c>
      <c r="E14" s="5"/>
      <c r="F14" s="5"/>
      <c r="G14" s="5"/>
    </row>
    <row r="15" spans="1:11" x14ac:dyDescent="0.25">
      <c r="A15" s="3"/>
      <c r="E15" s="5"/>
      <c r="F15" s="5"/>
      <c r="G15" s="5"/>
    </row>
    <row r="16" spans="1:11" x14ac:dyDescent="0.25">
      <c r="A16" s="3" t="s">
        <v>5</v>
      </c>
      <c r="D16" t="s">
        <v>6</v>
      </c>
      <c r="E16" s="5"/>
      <c r="F16" s="5"/>
      <c r="G16" s="5"/>
    </row>
    <row r="17" spans="2:7" x14ac:dyDescent="0.25">
      <c r="B17" t="s">
        <v>20</v>
      </c>
      <c r="C17">
        <v>1</v>
      </c>
      <c r="E17" s="5"/>
      <c r="F17" s="5"/>
      <c r="G17" s="5"/>
    </row>
    <row r="18" spans="2:7" x14ac:dyDescent="0.25">
      <c r="B18" t="s">
        <v>18</v>
      </c>
      <c r="C18">
        <v>6.0000000000000001E-3</v>
      </c>
      <c r="E18" s="5"/>
      <c r="F18" s="5"/>
      <c r="G18" s="5"/>
    </row>
    <row r="19" spans="2:7" x14ac:dyDescent="0.25">
      <c r="B19" t="s">
        <v>19</v>
      </c>
      <c r="C19">
        <v>4.0000000000000001E-3</v>
      </c>
      <c r="E19" s="5"/>
      <c r="F19" s="5"/>
      <c r="G19" s="5"/>
    </row>
    <row r="20" spans="2:7" x14ac:dyDescent="0.25">
      <c r="B20" t="s">
        <v>21</v>
      </c>
      <c r="C20">
        <v>0.25</v>
      </c>
      <c r="E20" s="5"/>
      <c r="F20" s="5"/>
      <c r="G20" s="5"/>
    </row>
    <row r="21" spans="2:7" x14ac:dyDescent="0.25">
      <c r="B21" t="s">
        <v>22</v>
      </c>
      <c r="C21">
        <v>0</v>
      </c>
      <c r="E21" s="5"/>
      <c r="F21" s="5"/>
      <c r="G21" s="5"/>
    </row>
  </sheetData>
  <dataConsolidate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0"/>
  <sheetViews>
    <sheetView tabSelected="1" workbookViewId="0">
      <selection activeCell="L31" sqref="L31"/>
    </sheetView>
  </sheetViews>
  <sheetFormatPr baseColWidth="10" defaultRowHeight="15" x14ac:dyDescent="0.25"/>
  <cols>
    <col min="1" max="1" width="3.42578125" customWidth="1"/>
    <col min="2" max="2" width="24.140625" customWidth="1"/>
    <col min="3" max="3" width="9.5703125" customWidth="1"/>
    <col min="4" max="4" width="8.140625" customWidth="1"/>
  </cols>
  <sheetData>
    <row r="1" spans="1:4" ht="15.75" thickBot="1" x14ac:dyDescent="0.3">
      <c r="B1" s="47" t="s">
        <v>170</v>
      </c>
      <c r="C1" s="47"/>
    </row>
    <row r="2" spans="1:4" x14ac:dyDescent="0.25">
      <c r="A2">
        <v>1</v>
      </c>
      <c r="B2" s="16" t="s">
        <v>103</v>
      </c>
      <c r="C2" s="17">
        <v>1990</v>
      </c>
      <c r="D2">
        <v>0</v>
      </c>
    </row>
    <row r="3" spans="1:4" x14ac:dyDescent="0.25">
      <c r="A3">
        <f t="shared" ref="A3:A12" si="0">+A2+1</f>
        <v>2</v>
      </c>
      <c r="B3" s="18" t="s">
        <v>171</v>
      </c>
      <c r="C3" s="19">
        <v>750</v>
      </c>
      <c r="D3">
        <v>0</v>
      </c>
    </row>
    <row r="4" spans="1:4" x14ac:dyDescent="0.25">
      <c r="A4">
        <f t="shared" si="0"/>
        <v>3</v>
      </c>
      <c r="B4" s="18" t="s">
        <v>172</v>
      </c>
      <c r="C4" s="19">
        <v>750</v>
      </c>
      <c r="D4">
        <v>0</v>
      </c>
    </row>
    <row r="5" spans="1:4" x14ac:dyDescent="0.25">
      <c r="A5">
        <f t="shared" si="0"/>
        <v>4</v>
      </c>
      <c r="B5" s="18" t="s">
        <v>105</v>
      </c>
      <c r="C5" s="19">
        <v>40</v>
      </c>
      <c r="D5">
        <v>0</v>
      </c>
    </row>
    <row r="6" spans="1:4" x14ac:dyDescent="0.25">
      <c r="A6">
        <f t="shared" si="0"/>
        <v>5</v>
      </c>
      <c r="B6" s="20" t="s">
        <v>173</v>
      </c>
      <c r="C6" s="19">
        <v>180</v>
      </c>
      <c r="D6">
        <v>0</v>
      </c>
    </row>
    <row r="7" spans="1:4" ht="15.75" customHeight="1" x14ac:dyDescent="0.25">
      <c r="A7">
        <f t="shared" si="0"/>
        <v>6</v>
      </c>
      <c r="B7" s="20" t="s">
        <v>174</v>
      </c>
      <c r="C7" s="19">
        <v>150</v>
      </c>
      <c r="D7">
        <v>0</v>
      </c>
    </row>
    <row r="8" spans="1:4" x14ac:dyDescent="0.25">
      <c r="A8">
        <f t="shared" si="0"/>
        <v>7</v>
      </c>
      <c r="B8" s="18" t="s">
        <v>175</v>
      </c>
      <c r="C8" s="19">
        <v>10</v>
      </c>
      <c r="D8">
        <v>0</v>
      </c>
    </row>
    <row r="9" spans="1:4" x14ac:dyDescent="0.25">
      <c r="A9">
        <f t="shared" si="0"/>
        <v>8</v>
      </c>
      <c r="B9" s="18" t="s">
        <v>137</v>
      </c>
      <c r="C9" s="19">
        <v>60</v>
      </c>
      <c r="D9">
        <v>0</v>
      </c>
    </row>
    <row r="10" spans="1:4" x14ac:dyDescent="0.25">
      <c r="A10">
        <f t="shared" si="0"/>
        <v>9</v>
      </c>
      <c r="B10" s="18" t="s">
        <v>84</v>
      </c>
      <c r="C10" s="19">
        <v>60</v>
      </c>
      <c r="D10">
        <v>0</v>
      </c>
    </row>
    <row r="11" spans="1:4" x14ac:dyDescent="0.25">
      <c r="A11">
        <f t="shared" si="0"/>
        <v>10</v>
      </c>
      <c r="B11" s="18" t="s">
        <v>21</v>
      </c>
      <c r="C11" s="21">
        <v>20</v>
      </c>
      <c r="D11">
        <v>0</v>
      </c>
    </row>
    <row r="12" spans="1:4" x14ac:dyDescent="0.25">
      <c r="A12">
        <f t="shared" si="0"/>
        <v>11</v>
      </c>
      <c r="B12" s="18"/>
      <c r="C12" s="19">
        <f>SUM(C2:C11)</f>
        <v>4010</v>
      </c>
      <c r="D12">
        <v>0</v>
      </c>
    </row>
    <row r="13" spans="1:4" x14ac:dyDescent="0.25">
      <c r="D13" t="s">
        <v>177</v>
      </c>
    </row>
    <row r="14" spans="1:4" x14ac:dyDescent="0.25">
      <c r="B14" s="22" t="s">
        <v>176</v>
      </c>
      <c r="C14">
        <f>+C12*0.8</f>
        <v>3208</v>
      </c>
      <c r="D14">
        <v>9.1999999999999993</v>
      </c>
    </row>
    <row r="15" spans="1:4" x14ac:dyDescent="0.25">
      <c r="C15">
        <f>+INT(C14/D14*0.95)</f>
        <v>331</v>
      </c>
    </row>
    <row r="17" spans="2:4" x14ac:dyDescent="0.25">
      <c r="B17" t="s">
        <v>181</v>
      </c>
      <c r="C17">
        <f>15*500*18</f>
        <v>135000</v>
      </c>
      <c r="D17" t="s">
        <v>182</v>
      </c>
    </row>
    <row r="18" spans="2:4" x14ac:dyDescent="0.25">
      <c r="C18">
        <f>+C17*D14</f>
        <v>1242000</v>
      </c>
      <c r="D18" t="s">
        <v>183</v>
      </c>
    </row>
    <row r="19" spans="2:4" x14ac:dyDescent="0.25">
      <c r="C19">
        <f>+C18/0.95</f>
        <v>1307368.4210526317</v>
      </c>
    </row>
    <row r="20" spans="2:4" x14ac:dyDescent="0.25">
      <c r="C20">
        <f>+C19/0.8</f>
        <v>1634210.5263157894</v>
      </c>
    </row>
  </sheetData>
  <mergeCells count="1"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1"/>
  <sheetViews>
    <sheetView workbookViewId="0">
      <selection activeCell="D14" sqref="D14"/>
    </sheetView>
  </sheetViews>
  <sheetFormatPr baseColWidth="10" defaultRowHeight="15" x14ac:dyDescent="0.25"/>
  <cols>
    <col min="1" max="1" width="5.140625" customWidth="1"/>
    <col min="2" max="2" width="18.85546875" customWidth="1"/>
    <col min="3" max="3" width="9" customWidth="1"/>
  </cols>
  <sheetData>
    <row r="1" spans="1:4" ht="15.75" thickBot="1" x14ac:dyDescent="0.3">
      <c r="B1" s="47" t="s">
        <v>178</v>
      </c>
      <c r="C1" s="47"/>
    </row>
    <row r="2" spans="1:4" x14ac:dyDescent="0.25">
      <c r="A2">
        <v>1</v>
      </c>
      <c r="B2" s="16" t="s">
        <v>103</v>
      </c>
      <c r="C2" s="17">
        <v>1900</v>
      </c>
      <c r="D2">
        <v>0</v>
      </c>
    </row>
    <row r="3" spans="1:4" x14ac:dyDescent="0.25">
      <c r="A3">
        <f t="shared" ref="A3:A13" si="0">+A2+1</f>
        <v>2</v>
      </c>
      <c r="B3" s="18" t="s">
        <v>171</v>
      </c>
      <c r="C3" s="19">
        <v>750</v>
      </c>
      <c r="D3">
        <v>0</v>
      </c>
    </row>
    <row r="4" spans="1:4" x14ac:dyDescent="0.25">
      <c r="A4">
        <f t="shared" si="0"/>
        <v>3</v>
      </c>
      <c r="B4" s="18" t="s">
        <v>179</v>
      </c>
      <c r="C4" s="19">
        <v>90</v>
      </c>
      <c r="D4">
        <v>0</v>
      </c>
    </row>
    <row r="5" spans="1:4" x14ac:dyDescent="0.25">
      <c r="A5">
        <f t="shared" si="0"/>
        <v>4</v>
      </c>
      <c r="B5" s="18" t="s">
        <v>172</v>
      </c>
      <c r="C5" s="19">
        <v>750</v>
      </c>
      <c r="D5">
        <v>0</v>
      </c>
    </row>
    <row r="6" spans="1:4" x14ac:dyDescent="0.25">
      <c r="A6">
        <f t="shared" si="0"/>
        <v>5</v>
      </c>
      <c r="B6" s="18" t="s">
        <v>105</v>
      </c>
      <c r="C6" s="19">
        <v>40</v>
      </c>
      <c r="D6">
        <v>0</v>
      </c>
    </row>
    <row r="7" spans="1:4" x14ac:dyDescent="0.25">
      <c r="A7">
        <f t="shared" si="0"/>
        <v>6</v>
      </c>
      <c r="B7" s="20" t="s">
        <v>173</v>
      </c>
      <c r="C7" s="19">
        <v>180</v>
      </c>
      <c r="D7">
        <v>0</v>
      </c>
    </row>
    <row r="8" spans="1:4" ht="18" customHeight="1" x14ac:dyDescent="0.25">
      <c r="A8">
        <f t="shared" si="0"/>
        <v>7</v>
      </c>
      <c r="B8" s="20" t="s">
        <v>174</v>
      </c>
      <c r="C8" s="19">
        <v>150</v>
      </c>
      <c r="D8">
        <v>0</v>
      </c>
    </row>
    <row r="9" spans="1:4" x14ac:dyDescent="0.25">
      <c r="A9">
        <f t="shared" si="0"/>
        <v>8</v>
      </c>
      <c r="B9" s="18" t="s">
        <v>180</v>
      </c>
      <c r="C9" s="19">
        <v>6</v>
      </c>
      <c r="D9">
        <v>0</v>
      </c>
    </row>
    <row r="10" spans="1:4" x14ac:dyDescent="0.25">
      <c r="A10">
        <f t="shared" si="0"/>
        <v>9</v>
      </c>
      <c r="B10" s="18" t="s">
        <v>137</v>
      </c>
      <c r="C10" s="19">
        <v>60</v>
      </c>
      <c r="D10">
        <v>0</v>
      </c>
    </row>
    <row r="11" spans="1:4" x14ac:dyDescent="0.25">
      <c r="A11">
        <f t="shared" si="0"/>
        <v>10</v>
      </c>
      <c r="B11" s="18" t="s">
        <v>84</v>
      </c>
      <c r="C11" s="19">
        <v>60</v>
      </c>
      <c r="D11">
        <v>0</v>
      </c>
    </row>
    <row r="12" spans="1:4" x14ac:dyDescent="0.25">
      <c r="A12">
        <f t="shared" si="0"/>
        <v>11</v>
      </c>
      <c r="B12" s="18" t="s">
        <v>21</v>
      </c>
      <c r="C12" s="21">
        <v>20</v>
      </c>
      <c r="D12">
        <v>0</v>
      </c>
    </row>
    <row r="13" spans="1:4" x14ac:dyDescent="0.25">
      <c r="A13">
        <f t="shared" si="0"/>
        <v>12</v>
      </c>
      <c r="B13" s="18"/>
      <c r="C13" s="19">
        <f>SUM(C2:C12)</f>
        <v>4006</v>
      </c>
      <c r="D13">
        <v>0</v>
      </c>
    </row>
    <row r="14" spans="1:4" x14ac:dyDescent="0.25">
      <c r="C14" s="23"/>
      <c r="D14" t="s">
        <v>177</v>
      </c>
    </row>
    <row r="15" spans="1:4" x14ac:dyDescent="0.25">
      <c r="B15" s="22" t="s">
        <v>176</v>
      </c>
      <c r="C15" s="23">
        <f>+C13*0.8</f>
        <v>3204.8</v>
      </c>
      <c r="D15">
        <v>9.1999999999999993</v>
      </c>
    </row>
    <row r="16" spans="1:4" x14ac:dyDescent="0.25">
      <c r="C16">
        <f>+INT(C15/D15*0.95)</f>
        <v>330</v>
      </c>
    </row>
    <row r="18" spans="2:4" x14ac:dyDescent="0.25">
      <c r="B18" t="s">
        <v>181</v>
      </c>
      <c r="C18">
        <f>15*500*18</f>
        <v>135000</v>
      </c>
      <c r="D18" t="s">
        <v>182</v>
      </c>
    </row>
    <row r="19" spans="2:4" x14ac:dyDescent="0.25">
      <c r="C19">
        <f>+C18*D15</f>
        <v>1242000</v>
      </c>
      <c r="D19" t="s">
        <v>183</v>
      </c>
    </row>
    <row r="20" spans="2:4" x14ac:dyDescent="0.25">
      <c r="C20">
        <f>+C19/0.95</f>
        <v>1307368.4210526317</v>
      </c>
    </row>
    <row r="21" spans="2:4" x14ac:dyDescent="0.25">
      <c r="C21">
        <f>+C20/0.8</f>
        <v>1634210.5263157894</v>
      </c>
    </row>
  </sheetData>
  <mergeCells count="1">
    <mergeCell ref="B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3CBE-58A4-4E93-85AD-1D76784EDDD8}">
  <dimension ref="A1:N74"/>
  <sheetViews>
    <sheetView topLeftCell="A40" workbookViewId="0">
      <selection activeCell="H3" sqref="H3"/>
    </sheetView>
  </sheetViews>
  <sheetFormatPr baseColWidth="10" defaultRowHeight="15" x14ac:dyDescent="0.25"/>
  <cols>
    <col min="1" max="1" width="4.5703125" customWidth="1"/>
    <col min="2" max="2" width="21.140625" customWidth="1"/>
    <col min="3" max="3" width="11.140625" customWidth="1"/>
    <col min="4" max="4" width="4.42578125" customWidth="1"/>
    <col min="5" max="5" width="10.85546875" customWidth="1"/>
    <col min="6" max="6" width="6.28515625" customWidth="1"/>
    <col min="7" max="7" width="11" customWidth="1"/>
    <col min="9" max="9" width="21.85546875" customWidth="1"/>
    <col min="10" max="10" width="11.42578125" customWidth="1"/>
    <col min="11" max="11" width="9.85546875" customWidth="1"/>
    <col min="12" max="12" width="11.42578125" customWidth="1"/>
    <col min="13" max="13" width="11.7109375" customWidth="1"/>
  </cols>
  <sheetData>
    <row r="1" spans="1:14" x14ac:dyDescent="0.25">
      <c r="A1" s="48" t="s">
        <v>216</v>
      </c>
      <c r="B1" s="48"/>
      <c r="C1" s="48"/>
      <c r="D1" s="48"/>
      <c r="E1" s="48"/>
      <c r="F1" s="48"/>
      <c r="G1" s="48"/>
    </row>
    <row r="2" spans="1:14" x14ac:dyDescent="0.25">
      <c r="A2" s="49"/>
      <c r="B2" s="50"/>
      <c r="C2" s="50"/>
      <c r="D2" s="50"/>
      <c r="E2" s="50"/>
      <c r="F2" s="50"/>
      <c r="G2" s="50"/>
      <c r="H2" s="28">
        <v>0</v>
      </c>
      <c r="I2" s="28" t="s">
        <v>231</v>
      </c>
      <c r="J2" s="28"/>
    </row>
    <row r="3" spans="1:14" x14ac:dyDescent="0.25">
      <c r="F3" s="2"/>
      <c r="G3" s="2" t="s">
        <v>217</v>
      </c>
      <c r="H3" s="28">
        <v>0</v>
      </c>
      <c r="I3" s="28" t="s">
        <v>240</v>
      </c>
    </row>
    <row r="4" spans="1:14" x14ac:dyDescent="0.25">
      <c r="A4" s="7">
        <v>1</v>
      </c>
      <c r="B4" s="7" t="s">
        <v>218</v>
      </c>
      <c r="C4" s="8">
        <f>358*H2+H3*90</f>
        <v>0</v>
      </c>
      <c r="D4" s="8" t="s">
        <v>183</v>
      </c>
      <c r="E4" s="8"/>
      <c r="F4" s="8" t="s">
        <v>6</v>
      </c>
      <c r="G4" s="8">
        <f>+C4/1000</f>
        <v>0</v>
      </c>
    </row>
    <row r="5" spans="1:14" x14ac:dyDescent="0.25">
      <c r="A5" s="7">
        <f>+A4+1</f>
        <v>2</v>
      </c>
      <c r="B5" s="7" t="s">
        <v>57</v>
      </c>
      <c r="C5" s="8">
        <v>3</v>
      </c>
      <c r="D5" s="8" t="s">
        <v>219</v>
      </c>
      <c r="E5" s="8"/>
      <c r="F5" s="8" t="s">
        <v>219</v>
      </c>
      <c r="G5" s="8">
        <f>+C5*$H$2+H3</f>
        <v>0</v>
      </c>
    </row>
    <row r="6" spans="1:14" x14ac:dyDescent="0.25">
      <c r="A6" s="7">
        <f t="shared" ref="A6:A12" si="0">+A5+1</f>
        <v>3</v>
      </c>
      <c r="B6" s="7" t="s">
        <v>241</v>
      </c>
      <c r="C6" s="8">
        <v>10</v>
      </c>
      <c r="D6" s="8" t="s">
        <v>219</v>
      </c>
      <c r="E6" s="8"/>
      <c r="F6" s="8" t="s">
        <v>219</v>
      </c>
      <c r="G6" s="8">
        <f>+$H$2</f>
        <v>0</v>
      </c>
    </row>
    <row r="7" spans="1:14" x14ac:dyDescent="0.25">
      <c r="A7" s="7"/>
      <c r="B7" s="7" t="s">
        <v>242</v>
      </c>
      <c r="C7" s="8"/>
      <c r="D7" s="8"/>
      <c r="E7" s="8"/>
      <c r="F7" s="8" t="s">
        <v>219</v>
      </c>
      <c r="G7" s="8">
        <f>+H3</f>
        <v>0</v>
      </c>
    </row>
    <row r="8" spans="1:14" x14ac:dyDescent="0.25">
      <c r="A8" s="7">
        <f>+A6+1</f>
        <v>4</v>
      </c>
      <c r="B8" s="7" t="s">
        <v>220</v>
      </c>
      <c r="C8" s="8">
        <v>10</v>
      </c>
      <c r="D8" s="8" t="s">
        <v>219</v>
      </c>
      <c r="E8" s="8"/>
      <c r="F8" s="8" t="s">
        <v>219</v>
      </c>
      <c r="G8" s="8">
        <f>+$H$2</f>
        <v>0</v>
      </c>
    </row>
    <row r="9" spans="1:14" x14ac:dyDescent="0.25">
      <c r="A9" s="7">
        <f t="shared" si="0"/>
        <v>5</v>
      </c>
      <c r="B9" s="7" t="s">
        <v>221</v>
      </c>
      <c r="C9" s="8">
        <v>240.65</v>
      </c>
      <c r="D9" s="8" t="s">
        <v>183</v>
      </c>
      <c r="E9" s="8"/>
      <c r="F9" s="8" t="s">
        <v>6</v>
      </c>
      <c r="G9" s="8">
        <f>+C9/10000*$H$2</f>
        <v>0</v>
      </c>
    </row>
    <row r="10" spans="1:14" x14ac:dyDescent="0.25">
      <c r="A10" s="7">
        <f t="shared" si="0"/>
        <v>6</v>
      </c>
      <c r="B10" s="7" t="s">
        <v>222</v>
      </c>
      <c r="C10" s="8">
        <v>300</v>
      </c>
      <c r="D10" s="8" t="s">
        <v>223</v>
      </c>
      <c r="E10" s="8"/>
      <c r="F10" s="8" t="s">
        <v>232</v>
      </c>
      <c r="G10" s="8">
        <f>+C10/1000*H2</f>
        <v>0</v>
      </c>
    </row>
    <row r="11" spans="1:14" x14ac:dyDescent="0.25">
      <c r="A11" s="7">
        <f t="shared" si="0"/>
        <v>7</v>
      </c>
      <c r="B11" s="7" t="s">
        <v>224</v>
      </c>
      <c r="C11" s="8">
        <v>1</v>
      </c>
      <c r="D11" s="8"/>
      <c r="E11" s="8"/>
      <c r="F11" s="8"/>
      <c r="G11" s="8">
        <f>+C11/10*H2</f>
        <v>0</v>
      </c>
    </row>
    <row r="12" spans="1:14" x14ac:dyDescent="0.25">
      <c r="A12" s="7">
        <f t="shared" si="0"/>
        <v>8</v>
      </c>
      <c r="B12" s="7" t="s">
        <v>63</v>
      </c>
      <c r="C12" s="8">
        <v>23</v>
      </c>
      <c r="D12" s="8"/>
      <c r="E12" s="8"/>
      <c r="F12" s="30"/>
      <c r="G12" s="30">
        <f>+H3/23</f>
        <v>0</v>
      </c>
    </row>
    <row r="13" spans="1:14" x14ac:dyDescent="0.25">
      <c r="A13" s="31"/>
      <c r="B13" s="31"/>
      <c r="C13" s="31"/>
      <c r="D13" s="31"/>
      <c r="E13" s="31"/>
      <c r="F13" s="31"/>
      <c r="G13" s="31"/>
    </row>
    <row r="14" spans="1:14" x14ac:dyDescent="0.25">
      <c r="B14" s="3" t="s">
        <v>225</v>
      </c>
      <c r="C14" s="3">
        <f>+C4</f>
        <v>0</v>
      </c>
      <c r="D14" s="3" t="s">
        <v>183</v>
      </c>
      <c r="E14" s="3"/>
      <c r="F14" s="3" t="e">
        <f>+G14/C14</f>
        <v>#DIV/0!</v>
      </c>
      <c r="G14" s="32">
        <f>+G15+G29+G44+G59</f>
        <v>0</v>
      </c>
      <c r="I14" t="s">
        <v>226</v>
      </c>
    </row>
    <row r="15" spans="1:14" x14ac:dyDescent="0.25">
      <c r="B15" s="3" t="s">
        <v>227</v>
      </c>
      <c r="C15" s="3">
        <f>+C14/4/1000</f>
        <v>0</v>
      </c>
      <c r="D15" s="3" t="s">
        <v>6</v>
      </c>
      <c r="E15" s="3" t="s">
        <v>233</v>
      </c>
      <c r="F15" s="32" t="e">
        <f>+G15/C15</f>
        <v>#DIV/0!</v>
      </c>
      <c r="G15" s="32">
        <f>SUM(G17:G25)</f>
        <v>0</v>
      </c>
      <c r="J15" s="33" t="s">
        <v>6</v>
      </c>
      <c r="K15" s="33" t="s">
        <v>6</v>
      </c>
      <c r="L15" t="s">
        <v>57</v>
      </c>
      <c r="M15" s="33" t="s">
        <v>6</v>
      </c>
    </row>
    <row r="16" spans="1:14" x14ac:dyDescent="0.25">
      <c r="A16" s="7">
        <f t="shared" ref="A16:A25" si="1">+A15+1</f>
        <v>1</v>
      </c>
      <c r="B16" s="26" t="s">
        <v>103</v>
      </c>
      <c r="C16" s="34">
        <v>2.5</v>
      </c>
      <c r="D16" s="7" t="s">
        <v>6</v>
      </c>
      <c r="E16" s="7">
        <f>+C16/$C$27*$C$15</f>
        <v>0</v>
      </c>
      <c r="F16" s="8">
        <v>4.8</v>
      </c>
      <c r="G16" s="8">
        <f>+C16/$C$27*$C$15*F16</f>
        <v>0</v>
      </c>
      <c r="I16" s="26" t="s">
        <v>103</v>
      </c>
      <c r="J16" s="7">
        <f>+E16+E30+E45+E60</f>
        <v>0</v>
      </c>
      <c r="K16" s="7">
        <f>+ROUND(J16,0)</f>
        <v>0</v>
      </c>
      <c r="L16" s="7">
        <v>250.00500000000002</v>
      </c>
      <c r="M16" s="7">
        <f>+L16+J16</f>
        <v>250.00500000000002</v>
      </c>
      <c r="N16" s="7"/>
    </row>
    <row r="17" spans="1:14" x14ac:dyDescent="0.25">
      <c r="A17" s="7">
        <f t="shared" si="1"/>
        <v>2</v>
      </c>
      <c r="B17" s="26" t="s">
        <v>171</v>
      </c>
      <c r="C17" s="34">
        <v>0.94000000000000017</v>
      </c>
      <c r="D17" s="7" t="s">
        <v>6</v>
      </c>
      <c r="E17" s="7">
        <f t="shared" ref="E17:E25" si="2">+C17/$C$27*$C$15</f>
        <v>0</v>
      </c>
      <c r="F17" s="8">
        <f>4.16/0.87</f>
        <v>4.7816091954022992</v>
      </c>
      <c r="G17" s="8">
        <f t="shared" ref="G17:G25" si="3">+C17/$C$27*$C$15*F17</f>
        <v>0</v>
      </c>
      <c r="I17" s="26" t="s">
        <v>171</v>
      </c>
      <c r="J17" s="7">
        <f>+E17+E31+E46+E61</f>
        <v>0</v>
      </c>
      <c r="K17" s="7">
        <f t="shared" ref="K17:K33" si="4">+ROUND(J17,0)</f>
        <v>0</v>
      </c>
      <c r="L17" s="7">
        <v>349.5</v>
      </c>
      <c r="M17" s="7">
        <f t="shared" ref="M17:M41" si="5">+L17+J17</f>
        <v>349.5</v>
      </c>
      <c r="N17" s="7"/>
    </row>
    <row r="18" spans="1:14" x14ac:dyDescent="0.25">
      <c r="A18" s="7">
        <f t="shared" si="1"/>
        <v>3</v>
      </c>
      <c r="B18" s="26" t="s">
        <v>172</v>
      </c>
      <c r="C18" s="34">
        <v>0.47</v>
      </c>
      <c r="D18" s="7" t="s">
        <v>6</v>
      </c>
      <c r="E18" s="7">
        <f t="shared" si="2"/>
        <v>0</v>
      </c>
      <c r="F18" s="8">
        <f>13.45/0.87</f>
        <v>15.459770114942527</v>
      </c>
      <c r="G18" s="8">
        <f t="shared" si="3"/>
        <v>0</v>
      </c>
      <c r="I18" s="26" t="s">
        <v>172</v>
      </c>
      <c r="J18" s="7">
        <f t="shared" ref="J18:J20" si="6">+E18+E32+E47+E62</f>
        <v>0</v>
      </c>
      <c r="K18" s="7">
        <f t="shared" si="4"/>
        <v>0</v>
      </c>
      <c r="L18" s="7"/>
      <c r="M18" s="7">
        <f t="shared" si="5"/>
        <v>0</v>
      </c>
      <c r="N18" s="7"/>
    </row>
    <row r="19" spans="1:14" x14ac:dyDescent="0.25">
      <c r="A19" s="7">
        <f t="shared" si="1"/>
        <v>4</v>
      </c>
      <c r="B19" s="26" t="s">
        <v>166</v>
      </c>
      <c r="C19" s="34">
        <v>0.47</v>
      </c>
      <c r="D19" s="7" t="s">
        <v>6</v>
      </c>
      <c r="E19" s="7">
        <f t="shared" si="2"/>
        <v>0</v>
      </c>
      <c r="F19" s="8">
        <f>14.26/0.87</f>
        <v>16.390804597701148</v>
      </c>
      <c r="G19" s="8">
        <f t="shared" si="3"/>
        <v>0</v>
      </c>
      <c r="I19" s="26" t="s">
        <v>166</v>
      </c>
      <c r="J19" s="7">
        <f t="shared" si="6"/>
        <v>0</v>
      </c>
      <c r="K19" s="7">
        <f t="shared" si="4"/>
        <v>0</v>
      </c>
      <c r="L19" s="7">
        <v>55.002500000000005</v>
      </c>
      <c r="M19" s="7">
        <f t="shared" si="5"/>
        <v>55.002500000000005</v>
      </c>
      <c r="N19" s="7"/>
    </row>
    <row r="20" spans="1:14" x14ac:dyDescent="0.25">
      <c r="A20" s="7">
        <f t="shared" si="1"/>
        <v>5</v>
      </c>
      <c r="B20" s="26" t="s">
        <v>105</v>
      </c>
      <c r="C20" s="34">
        <v>0.05</v>
      </c>
      <c r="D20" s="7" t="s">
        <v>6</v>
      </c>
      <c r="E20" s="7">
        <f t="shared" si="2"/>
        <v>0</v>
      </c>
      <c r="F20" s="8">
        <f>17.4/0.87</f>
        <v>20</v>
      </c>
      <c r="G20" s="8">
        <f t="shared" si="3"/>
        <v>0</v>
      </c>
      <c r="I20" s="26" t="s">
        <v>105</v>
      </c>
      <c r="J20" s="7">
        <f t="shared" si="6"/>
        <v>0</v>
      </c>
      <c r="K20" s="7">
        <f t="shared" si="4"/>
        <v>0</v>
      </c>
      <c r="L20" s="7">
        <v>1.6912499999999999</v>
      </c>
      <c r="M20" s="7">
        <f t="shared" si="5"/>
        <v>1.6912499999999999</v>
      </c>
      <c r="N20" s="7"/>
    </row>
    <row r="21" spans="1:14" ht="15" customHeight="1" x14ac:dyDescent="0.25">
      <c r="A21" s="7">
        <f t="shared" si="1"/>
        <v>6</v>
      </c>
      <c r="B21" s="27" t="s">
        <v>213</v>
      </c>
      <c r="C21" s="34">
        <v>0.1</v>
      </c>
      <c r="D21" s="7" t="s">
        <v>6</v>
      </c>
      <c r="E21" s="7">
        <f t="shared" si="2"/>
        <v>0</v>
      </c>
      <c r="F21" s="8">
        <v>3.8</v>
      </c>
      <c r="G21" s="8">
        <f t="shared" si="3"/>
        <v>0</v>
      </c>
      <c r="I21" s="27" t="s">
        <v>213</v>
      </c>
      <c r="J21" s="36">
        <f>+(E21+E35+E50+E65)*0.7</f>
        <v>0</v>
      </c>
      <c r="K21" s="7">
        <f t="shared" si="4"/>
        <v>0</v>
      </c>
      <c r="L21" s="7">
        <v>0</v>
      </c>
      <c r="M21" s="7">
        <f t="shared" si="5"/>
        <v>0</v>
      </c>
      <c r="N21" s="7"/>
    </row>
    <row r="22" spans="1:14" x14ac:dyDescent="0.25">
      <c r="A22" s="7">
        <f t="shared" si="1"/>
        <v>7</v>
      </c>
      <c r="B22" s="26" t="s">
        <v>175</v>
      </c>
      <c r="C22" s="34">
        <v>1.4999999999999999E-2</v>
      </c>
      <c r="D22" s="7" t="s">
        <v>6</v>
      </c>
      <c r="E22" s="7">
        <f t="shared" si="2"/>
        <v>0</v>
      </c>
      <c r="F22" s="8">
        <f>104.4/0.87</f>
        <v>120.00000000000001</v>
      </c>
      <c r="G22" s="8">
        <f t="shared" si="3"/>
        <v>0</v>
      </c>
      <c r="I22" s="26" t="s">
        <v>175</v>
      </c>
      <c r="J22" s="7">
        <f>+E22</f>
        <v>0</v>
      </c>
      <c r="K22" s="7">
        <f t="shared" si="4"/>
        <v>0</v>
      </c>
      <c r="L22" s="7">
        <v>0</v>
      </c>
      <c r="M22" s="7">
        <f t="shared" si="5"/>
        <v>0</v>
      </c>
      <c r="N22" s="7"/>
    </row>
    <row r="23" spans="1:14" x14ac:dyDescent="0.25">
      <c r="A23" s="7">
        <f t="shared" si="1"/>
        <v>8</v>
      </c>
      <c r="B23" s="26" t="s">
        <v>137</v>
      </c>
      <c r="C23" s="34">
        <v>3.5000000000000003E-2</v>
      </c>
      <c r="D23" s="7" t="s">
        <v>6</v>
      </c>
      <c r="E23" s="7">
        <f t="shared" si="2"/>
        <v>0</v>
      </c>
      <c r="F23" s="8">
        <f>18.7/0.87</f>
        <v>21.494252873563219</v>
      </c>
      <c r="G23" s="8">
        <f t="shared" si="3"/>
        <v>0</v>
      </c>
      <c r="I23" s="26" t="s">
        <v>137</v>
      </c>
      <c r="J23" s="7">
        <f>+E23+E37+E68+E52</f>
        <v>0</v>
      </c>
      <c r="K23" s="7">
        <f t="shared" si="4"/>
        <v>0</v>
      </c>
      <c r="L23" s="7">
        <v>7.875</v>
      </c>
      <c r="M23" s="7">
        <f t="shared" si="5"/>
        <v>7.875</v>
      </c>
      <c r="N23" s="7"/>
    </row>
    <row r="24" spans="1:14" x14ac:dyDescent="0.25">
      <c r="A24" s="7">
        <f t="shared" si="1"/>
        <v>9</v>
      </c>
      <c r="B24" s="26" t="s">
        <v>84</v>
      </c>
      <c r="C24" s="34">
        <v>0.04</v>
      </c>
      <c r="D24" s="7" t="s">
        <v>6</v>
      </c>
      <c r="E24" s="7">
        <f t="shared" si="2"/>
        <v>0</v>
      </c>
      <c r="F24" s="8">
        <f>14/0.87</f>
        <v>16.091954022988507</v>
      </c>
      <c r="G24" s="8">
        <f t="shared" si="3"/>
        <v>0</v>
      </c>
      <c r="I24" s="26" t="s">
        <v>84</v>
      </c>
      <c r="J24" s="7">
        <f>+E24+E38+E69+E53</f>
        <v>0</v>
      </c>
      <c r="K24" s="7">
        <f t="shared" si="4"/>
        <v>0</v>
      </c>
      <c r="L24" s="7">
        <v>3.0449999999999999</v>
      </c>
      <c r="M24" s="7">
        <f t="shared" si="5"/>
        <v>3.0449999999999999</v>
      </c>
      <c r="N24" s="7"/>
    </row>
    <row r="25" spans="1:14" x14ac:dyDescent="0.25">
      <c r="A25" s="7">
        <f t="shared" si="1"/>
        <v>10</v>
      </c>
      <c r="B25" s="26" t="s">
        <v>21</v>
      </c>
      <c r="C25" s="34">
        <v>0.01</v>
      </c>
      <c r="D25" s="7" t="s">
        <v>6</v>
      </c>
      <c r="E25" s="7">
        <f t="shared" si="2"/>
        <v>0</v>
      </c>
      <c r="F25" s="8">
        <f>0.73/0.87</f>
        <v>0.83908045977011492</v>
      </c>
      <c r="G25" s="8">
        <f t="shared" si="3"/>
        <v>0</v>
      </c>
      <c r="I25" s="26" t="s">
        <v>21</v>
      </c>
      <c r="J25" s="7">
        <f>+E25+E39+E70+E54</f>
        <v>0</v>
      </c>
      <c r="K25" s="7">
        <f t="shared" si="4"/>
        <v>0</v>
      </c>
      <c r="L25" s="7">
        <v>2.4500000000000002</v>
      </c>
      <c r="M25" s="7">
        <f t="shared" si="5"/>
        <v>2.4500000000000002</v>
      </c>
      <c r="N25" s="7"/>
    </row>
    <row r="26" spans="1:14" x14ac:dyDescent="0.25">
      <c r="A26" s="7"/>
      <c r="B26" s="26" t="s">
        <v>67</v>
      </c>
      <c r="C26" s="35">
        <f>SUM(C16:C25)</f>
        <v>4.629999999999999</v>
      </c>
      <c r="D26" s="7" t="s">
        <v>6</v>
      </c>
      <c r="E26" s="7"/>
      <c r="F26" s="7"/>
      <c r="G26" s="7"/>
      <c r="I26" s="7" t="str">
        <f>+B40</f>
        <v>Jengibre</v>
      </c>
      <c r="J26" s="7">
        <f>+E40</f>
        <v>0</v>
      </c>
      <c r="K26" s="7">
        <f t="shared" si="4"/>
        <v>0</v>
      </c>
      <c r="L26" s="7">
        <v>0</v>
      </c>
      <c r="M26" s="7">
        <f t="shared" si="5"/>
        <v>0</v>
      </c>
      <c r="N26" s="7"/>
    </row>
    <row r="27" spans="1:14" x14ac:dyDescent="0.25">
      <c r="A27" s="7"/>
      <c r="B27" s="26" t="s">
        <v>228</v>
      </c>
      <c r="C27" s="7">
        <f>+C26-C22-C21*0.3-C20-C18*0.7-C19*0.7</f>
        <v>3.8769999999999998</v>
      </c>
      <c r="D27" s="7" t="s">
        <v>6</v>
      </c>
      <c r="E27" s="7"/>
      <c r="F27" s="7"/>
      <c r="G27" s="7"/>
      <c r="I27" s="7" t="str">
        <f>+B36</f>
        <v>Esencia Clavo Canela</v>
      </c>
      <c r="J27" s="7">
        <f>+E36</f>
        <v>0</v>
      </c>
      <c r="K27" s="7">
        <f t="shared" si="4"/>
        <v>0</v>
      </c>
      <c r="L27" s="7">
        <v>0</v>
      </c>
      <c r="M27" s="7">
        <f t="shared" si="5"/>
        <v>0</v>
      </c>
      <c r="N27" s="7"/>
    </row>
    <row r="28" spans="1:14" x14ac:dyDescent="0.25">
      <c r="I28" s="7" t="str">
        <f>+B51</f>
        <v>Esencia Coco</v>
      </c>
      <c r="J28" s="7">
        <f>+E51</f>
        <v>0</v>
      </c>
      <c r="K28" s="7">
        <f t="shared" si="4"/>
        <v>0</v>
      </c>
      <c r="L28" s="7">
        <v>0</v>
      </c>
      <c r="M28" s="7">
        <f t="shared" si="5"/>
        <v>0</v>
      </c>
      <c r="N28" s="7"/>
    </row>
    <row r="29" spans="1:14" x14ac:dyDescent="0.25">
      <c r="B29" s="3" t="s">
        <v>179</v>
      </c>
      <c r="C29" s="3">
        <f>+C14/4/1000</f>
        <v>0</v>
      </c>
      <c r="D29" s="3" t="s">
        <v>6</v>
      </c>
      <c r="E29" s="3"/>
      <c r="F29" s="32" t="e">
        <f>+G29/C29</f>
        <v>#DIV/0!</v>
      </c>
      <c r="G29" s="32">
        <f>SUM(G30:G40)</f>
        <v>0</v>
      </c>
      <c r="I29" s="7" t="str">
        <f>+B55</f>
        <v>Coco Rallado</v>
      </c>
      <c r="J29" s="7">
        <f>+E55</f>
        <v>0</v>
      </c>
      <c r="K29" s="7">
        <f t="shared" si="4"/>
        <v>0</v>
      </c>
      <c r="L29" s="7">
        <v>0</v>
      </c>
      <c r="M29" s="7">
        <f t="shared" si="5"/>
        <v>0</v>
      </c>
      <c r="N29" s="7"/>
    </row>
    <row r="30" spans="1:14" x14ac:dyDescent="0.25">
      <c r="A30" s="7">
        <f t="shared" ref="A30:A40" si="7">+A29+1</f>
        <v>1</v>
      </c>
      <c r="B30" s="26" t="s">
        <v>103</v>
      </c>
      <c r="C30" s="34">
        <v>2.5</v>
      </c>
      <c r="D30" s="7" t="s">
        <v>6</v>
      </c>
      <c r="E30" s="7">
        <f>+C30/$C$42*$C$29</f>
        <v>0</v>
      </c>
      <c r="F30" s="8">
        <v>4.8</v>
      </c>
      <c r="G30" s="8">
        <f>+C30/$C$42*$C$29*F30</f>
        <v>0</v>
      </c>
      <c r="I30" s="7" t="str">
        <f>+B66</f>
        <v>Esencia Chocolate</v>
      </c>
      <c r="J30" s="7">
        <f>+E66</f>
        <v>0</v>
      </c>
      <c r="K30" s="7">
        <f t="shared" si="4"/>
        <v>0</v>
      </c>
      <c r="L30" s="7">
        <v>0.4</v>
      </c>
      <c r="M30" s="7">
        <f t="shared" si="5"/>
        <v>0.4</v>
      </c>
      <c r="N30" s="7"/>
    </row>
    <row r="31" spans="1:14" x14ac:dyDescent="0.25">
      <c r="A31" s="7">
        <f t="shared" si="7"/>
        <v>2</v>
      </c>
      <c r="B31" s="26" t="s">
        <v>171</v>
      </c>
      <c r="C31" s="34">
        <v>0.94000000000000017</v>
      </c>
      <c r="D31" s="7" t="s">
        <v>6</v>
      </c>
      <c r="E31" s="7">
        <f t="shared" ref="E31:E40" si="8">+C31/$C$42*$C$29</f>
        <v>0</v>
      </c>
      <c r="F31" s="8">
        <f>4.16/0.87</f>
        <v>4.7816091954022992</v>
      </c>
      <c r="G31" s="8">
        <f t="shared" ref="G31:G40" si="9">+C31/$C$42*$C$29*F31</f>
        <v>0</v>
      </c>
      <c r="I31" s="7" t="str">
        <f>+B67</f>
        <v>Esencia Vainilla</v>
      </c>
      <c r="J31" s="7">
        <f>+E67</f>
        <v>0</v>
      </c>
      <c r="K31" s="7">
        <f t="shared" si="4"/>
        <v>0</v>
      </c>
      <c r="L31" s="7">
        <v>0.89249999999999996</v>
      </c>
      <c r="M31" s="7">
        <f t="shared" si="5"/>
        <v>0.89249999999999996</v>
      </c>
      <c r="N31" s="7"/>
    </row>
    <row r="32" spans="1:14" x14ac:dyDescent="0.25">
      <c r="A32" s="7">
        <f t="shared" si="7"/>
        <v>3</v>
      </c>
      <c r="B32" s="26" t="s">
        <v>172</v>
      </c>
      <c r="C32" s="34">
        <v>0.47</v>
      </c>
      <c r="D32" s="7" t="s">
        <v>6</v>
      </c>
      <c r="E32" s="7">
        <f t="shared" si="8"/>
        <v>0</v>
      </c>
      <c r="F32" s="8">
        <f>13.45/0.87</f>
        <v>15.459770114942527</v>
      </c>
      <c r="G32" s="8">
        <f t="shared" si="9"/>
        <v>0</v>
      </c>
      <c r="I32" s="7" t="str">
        <f>+B71</f>
        <v>Colorante Caramelo</v>
      </c>
      <c r="J32" s="7">
        <f>+E71</f>
        <v>0</v>
      </c>
      <c r="K32" s="37">
        <f t="shared" si="4"/>
        <v>0</v>
      </c>
      <c r="L32" s="7">
        <v>0.78749999999999998</v>
      </c>
      <c r="M32" s="7">
        <f t="shared" si="5"/>
        <v>0.78749999999999998</v>
      </c>
      <c r="N32" s="7"/>
    </row>
    <row r="33" spans="1:14" x14ac:dyDescent="0.25">
      <c r="A33" s="7">
        <f t="shared" si="7"/>
        <v>4</v>
      </c>
      <c r="B33" s="26" t="s">
        <v>166</v>
      </c>
      <c r="C33" s="34">
        <v>0.47</v>
      </c>
      <c r="D33" s="7" t="s">
        <v>6</v>
      </c>
      <c r="E33" s="7">
        <f t="shared" si="8"/>
        <v>0</v>
      </c>
      <c r="F33" s="8">
        <f>14.26/0.87</f>
        <v>16.390804597701148</v>
      </c>
      <c r="G33" s="8">
        <f t="shared" si="9"/>
        <v>0</v>
      </c>
      <c r="I33" s="7" t="str">
        <f>+B72</f>
        <v>Cacao</v>
      </c>
      <c r="J33" s="7">
        <f>+E72</f>
        <v>0</v>
      </c>
      <c r="K33" s="7">
        <f t="shared" si="4"/>
        <v>0</v>
      </c>
      <c r="L33" s="7">
        <v>38</v>
      </c>
      <c r="M33" s="7">
        <f t="shared" si="5"/>
        <v>38</v>
      </c>
      <c r="N33" s="7"/>
    </row>
    <row r="34" spans="1:14" x14ac:dyDescent="0.25">
      <c r="A34" s="7">
        <f t="shared" si="7"/>
        <v>5</v>
      </c>
      <c r="B34" s="26" t="s">
        <v>105</v>
      </c>
      <c r="C34" s="34">
        <v>0.05</v>
      </c>
      <c r="D34" s="7" t="s">
        <v>6</v>
      </c>
      <c r="E34" s="7">
        <f t="shared" si="8"/>
        <v>0</v>
      </c>
      <c r="F34" s="8">
        <f>17.4/0.87</f>
        <v>20</v>
      </c>
      <c r="G34" s="8">
        <f t="shared" si="9"/>
        <v>0</v>
      </c>
      <c r="I34" s="7" t="s">
        <v>72</v>
      </c>
      <c r="J34" s="7"/>
      <c r="K34" s="7"/>
      <c r="L34" s="7">
        <v>12.075000000000001</v>
      </c>
      <c r="M34" s="7">
        <f t="shared" si="5"/>
        <v>12.075000000000001</v>
      </c>
      <c r="N34" s="7"/>
    </row>
    <row r="35" spans="1:14" x14ac:dyDescent="0.25">
      <c r="A35" s="7">
        <f t="shared" si="7"/>
        <v>6</v>
      </c>
      <c r="B35" s="27" t="s">
        <v>213</v>
      </c>
      <c r="C35" s="34">
        <v>0.1</v>
      </c>
      <c r="D35" s="7" t="s">
        <v>6</v>
      </c>
      <c r="E35" s="7">
        <f t="shared" si="8"/>
        <v>0</v>
      </c>
      <c r="F35" s="8">
        <v>3.8</v>
      </c>
      <c r="G35" s="8">
        <f t="shared" si="9"/>
        <v>0</v>
      </c>
      <c r="I35" s="7" t="s">
        <v>83</v>
      </c>
      <c r="J35" s="7"/>
      <c r="K35" s="7"/>
      <c r="L35" s="7">
        <v>10</v>
      </c>
      <c r="M35" s="7">
        <f t="shared" si="5"/>
        <v>10</v>
      </c>
      <c r="N35" s="7"/>
    </row>
    <row r="36" spans="1:14" x14ac:dyDescent="0.25">
      <c r="A36" s="7">
        <f t="shared" si="7"/>
        <v>7</v>
      </c>
      <c r="B36" s="26" t="s">
        <v>184</v>
      </c>
      <c r="C36" s="34">
        <v>2E-3</v>
      </c>
      <c r="D36" s="7" t="s">
        <v>6</v>
      </c>
      <c r="E36" s="7">
        <f t="shared" si="8"/>
        <v>0</v>
      </c>
      <c r="F36" s="8">
        <f>130/0.87</f>
        <v>149.42528735632183</v>
      </c>
      <c r="G36" s="8">
        <f t="shared" si="9"/>
        <v>0</v>
      </c>
      <c r="I36" s="7" t="s">
        <v>153</v>
      </c>
      <c r="J36" s="7"/>
      <c r="K36" s="7"/>
      <c r="L36" s="7">
        <v>12</v>
      </c>
      <c r="M36" s="7">
        <f t="shared" si="5"/>
        <v>12</v>
      </c>
      <c r="N36" s="7"/>
    </row>
    <row r="37" spans="1:14" x14ac:dyDescent="0.25">
      <c r="A37" s="7">
        <f t="shared" si="7"/>
        <v>8</v>
      </c>
      <c r="B37" s="26" t="s">
        <v>137</v>
      </c>
      <c r="C37" s="34">
        <v>3.5000000000000003E-2</v>
      </c>
      <c r="D37" s="7" t="s">
        <v>6</v>
      </c>
      <c r="E37" s="7">
        <f t="shared" si="8"/>
        <v>0</v>
      </c>
      <c r="F37" s="8">
        <f>18.7/0.87</f>
        <v>21.494252873563219</v>
      </c>
      <c r="G37" s="8">
        <f t="shared" si="9"/>
        <v>0</v>
      </c>
      <c r="I37" s="7" t="s">
        <v>91</v>
      </c>
      <c r="J37" s="7"/>
      <c r="K37" s="7"/>
      <c r="L37" s="7">
        <v>230</v>
      </c>
      <c r="M37" s="7">
        <f t="shared" si="5"/>
        <v>230</v>
      </c>
      <c r="N37" s="7"/>
    </row>
    <row r="38" spans="1:14" x14ac:dyDescent="0.25">
      <c r="A38" s="7">
        <f t="shared" si="7"/>
        <v>9</v>
      </c>
      <c r="B38" s="26" t="s">
        <v>84</v>
      </c>
      <c r="C38" s="34">
        <v>0.04</v>
      </c>
      <c r="D38" s="7" t="s">
        <v>6</v>
      </c>
      <c r="E38" s="7">
        <f t="shared" si="8"/>
        <v>0</v>
      </c>
      <c r="F38" s="8">
        <f>14/0.87</f>
        <v>16.091954022988507</v>
      </c>
      <c r="G38" s="8">
        <f t="shared" si="9"/>
        <v>0</v>
      </c>
      <c r="I38" s="7" t="s">
        <v>82</v>
      </c>
      <c r="J38" s="7"/>
      <c r="K38" s="7"/>
      <c r="L38" s="7">
        <v>0.86</v>
      </c>
      <c r="M38" s="7">
        <f t="shared" si="5"/>
        <v>0.86</v>
      </c>
      <c r="N38" s="7"/>
    </row>
    <row r="39" spans="1:14" x14ac:dyDescent="0.25">
      <c r="A39" s="7">
        <f t="shared" si="7"/>
        <v>10</v>
      </c>
      <c r="B39" s="26" t="s">
        <v>21</v>
      </c>
      <c r="C39" s="34">
        <v>0.01</v>
      </c>
      <c r="D39" s="7" t="s">
        <v>6</v>
      </c>
      <c r="E39" s="7">
        <f t="shared" si="8"/>
        <v>0</v>
      </c>
      <c r="F39" s="8">
        <f>0.73/0.87</f>
        <v>0.83908045977011492</v>
      </c>
      <c r="G39" s="8">
        <f t="shared" si="9"/>
        <v>0</v>
      </c>
      <c r="I39" s="7" t="s">
        <v>142</v>
      </c>
      <c r="J39" s="7"/>
      <c r="K39" s="7"/>
      <c r="L39" s="7">
        <v>38</v>
      </c>
      <c r="M39" s="7">
        <f t="shared" si="5"/>
        <v>38</v>
      </c>
      <c r="N39" s="7"/>
    </row>
    <row r="40" spans="1:14" x14ac:dyDescent="0.25">
      <c r="A40" s="7">
        <f t="shared" si="7"/>
        <v>11</v>
      </c>
      <c r="B40" s="26" t="s">
        <v>179</v>
      </c>
      <c r="C40" s="34">
        <v>0.01</v>
      </c>
      <c r="D40" s="7" t="s">
        <v>6</v>
      </c>
      <c r="E40" s="7">
        <f t="shared" si="8"/>
        <v>0</v>
      </c>
      <c r="F40" s="29">
        <v>60</v>
      </c>
      <c r="G40" s="8">
        <f t="shared" si="9"/>
        <v>0</v>
      </c>
      <c r="I40" s="7" t="s">
        <v>123</v>
      </c>
      <c r="J40" s="7"/>
      <c r="K40" s="7"/>
      <c r="L40" s="7">
        <v>0.1</v>
      </c>
      <c r="M40" s="7">
        <f t="shared" si="5"/>
        <v>0.1</v>
      </c>
      <c r="N40" s="7"/>
    </row>
    <row r="41" spans="1:14" x14ac:dyDescent="0.25">
      <c r="A41" s="7"/>
      <c r="B41" s="26" t="s">
        <v>67</v>
      </c>
      <c r="C41" s="35">
        <f>SUM(C30:C40)</f>
        <v>4.6269999999999989</v>
      </c>
      <c r="D41" s="7" t="s">
        <v>6</v>
      </c>
      <c r="E41" s="7"/>
      <c r="F41" s="7"/>
      <c r="G41" s="8"/>
      <c r="I41" s="7" t="s">
        <v>22</v>
      </c>
      <c r="J41" s="7"/>
      <c r="K41" s="7"/>
      <c r="L41" s="7">
        <v>0.02</v>
      </c>
      <c r="M41" s="7">
        <f t="shared" si="5"/>
        <v>0.02</v>
      </c>
      <c r="N41" s="7"/>
    </row>
    <row r="42" spans="1:14" x14ac:dyDescent="0.25">
      <c r="A42" s="7"/>
      <c r="B42" s="26" t="s">
        <v>228</v>
      </c>
      <c r="C42" s="7">
        <f>+C41-C36-C35*0.3-C34-C32*0.7-C33*0.7</f>
        <v>3.8869999999999996</v>
      </c>
      <c r="D42" s="7" t="s">
        <v>6</v>
      </c>
      <c r="E42" s="7"/>
      <c r="F42" s="7"/>
      <c r="G42" s="7"/>
    </row>
    <row r="44" spans="1:14" x14ac:dyDescent="0.25">
      <c r="B44" s="3" t="s">
        <v>229</v>
      </c>
      <c r="C44" s="3">
        <f>+C14/4/1000</f>
        <v>0</v>
      </c>
      <c r="D44" s="3" t="s">
        <v>6</v>
      </c>
      <c r="E44" s="3"/>
      <c r="F44" s="32" t="e">
        <f>+G44/C44</f>
        <v>#DIV/0!</v>
      </c>
      <c r="G44" s="32">
        <f>SUM(G45:G55)</f>
        <v>0</v>
      </c>
    </row>
    <row r="45" spans="1:14" x14ac:dyDescent="0.25">
      <c r="A45" s="7">
        <f t="shared" ref="A45:A55" si="10">+A44+1</f>
        <v>1</v>
      </c>
      <c r="B45" s="26" t="s">
        <v>103</v>
      </c>
      <c r="C45" s="34">
        <v>2.5</v>
      </c>
      <c r="D45" s="7" t="s">
        <v>6</v>
      </c>
      <c r="E45" s="7">
        <f>+C45/$C$57*$C$44</f>
        <v>0</v>
      </c>
      <c r="F45" s="8">
        <v>4.8</v>
      </c>
      <c r="G45" s="8">
        <f>+C45/$C$57*$C$44*F45</f>
        <v>0</v>
      </c>
    </row>
    <row r="46" spans="1:14" x14ac:dyDescent="0.25">
      <c r="A46" s="7">
        <f t="shared" si="10"/>
        <v>2</v>
      </c>
      <c r="B46" s="26" t="s">
        <v>171</v>
      </c>
      <c r="C46" s="34">
        <v>0.94000000000000017</v>
      </c>
      <c r="D46" s="7" t="s">
        <v>6</v>
      </c>
      <c r="E46" s="7">
        <f t="shared" ref="E46:E55" si="11">+C46/$C$57*$C$44</f>
        <v>0</v>
      </c>
      <c r="F46" s="8">
        <f>4.16/0.87</f>
        <v>4.7816091954022992</v>
      </c>
      <c r="G46" s="8">
        <f t="shared" ref="G46:G55" si="12">+C46/$C$57*$C$44*F46</f>
        <v>0</v>
      </c>
    </row>
    <row r="47" spans="1:14" x14ac:dyDescent="0.25">
      <c r="A47" s="7">
        <f t="shared" si="10"/>
        <v>3</v>
      </c>
      <c r="B47" s="26" t="s">
        <v>172</v>
      </c>
      <c r="C47" s="34">
        <v>0.47</v>
      </c>
      <c r="D47" s="7" t="s">
        <v>6</v>
      </c>
      <c r="E47" s="7">
        <f t="shared" si="11"/>
        <v>0</v>
      </c>
      <c r="F47" s="8">
        <f>13.45/0.87</f>
        <v>15.459770114942527</v>
      </c>
      <c r="G47" s="8">
        <f t="shared" si="12"/>
        <v>0</v>
      </c>
    </row>
    <row r="48" spans="1:14" x14ac:dyDescent="0.25">
      <c r="A48" s="7">
        <f t="shared" si="10"/>
        <v>4</v>
      </c>
      <c r="B48" s="26" t="s">
        <v>166</v>
      </c>
      <c r="C48" s="34">
        <v>0.47</v>
      </c>
      <c r="D48" s="7" t="s">
        <v>6</v>
      </c>
      <c r="E48" s="7">
        <f t="shared" si="11"/>
        <v>0</v>
      </c>
      <c r="F48" s="8">
        <f>14.26/0.87</f>
        <v>16.390804597701148</v>
      </c>
      <c r="G48" s="8">
        <f t="shared" si="12"/>
        <v>0</v>
      </c>
    </row>
    <row r="49" spans="1:7" x14ac:dyDescent="0.25">
      <c r="A49" s="7">
        <f t="shared" si="10"/>
        <v>5</v>
      </c>
      <c r="B49" s="26" t="s">
        <v>105</v>
      </c>
      <c r="C49" s="34">
        <v>0.05</v>
      </c>
      <c r="D49" s="7" t="s">
        <v>6</v>
      </c>
      <c r="E49" s="7">
        <f t="shared" si="11"/>
        <v>0</v>
      </c>
      <c r="F49" s="8">
        <f>17.4/0.87</f>
        <v>20</v>
      </c>
      <c r="G49" s="8">
        <f t="shared" si="12"/>
        <v>0</v>
      </c>
    </row>
    <row r="50" spans="1:7" x14ac:dyDescent="0.25">
      <c r="A50" s="7">
        <f t="shared" si="10"/>
        <v>6</v>
      </c>
      <c r="B50" s="27" t="s">
        <v>213</v>
      </c>
      <c r="C50" s="34">
        <v>0.1</v>
      </c>
      <c r="D50" s="7" t="s">
        <v>6</v>
      </c>
      <c r="E50" s="7">
        <f t="shared" si="11"/>
        <v>0</v>
      </c>
      <c r="F50" s="8">
        <v>3.8</v>
      </c>
      <c r="G50" s="8">
        <f t="shared" si="12"/>
        <v>0</v>
      </c>
    </row>
    <row r="51" spans="1:7" x14ac:dyDescent="0.25">
      <c r="A51" s="7">
        <f t="shared" si="10"/>
        <v>7</v>
      </c>
      <c r="B51" s="26" t="s">
        <v>214</v>
      </c>
      <c r="C51" s="34">
        <v>4.0000000000000001E-3</v>
      </c>
      <c r="D51" s="7" t="s">
        <v>6</v>
      </c>
      <c r="E51" s="7">
        <f t="shared" si="11"/>
        <v>0</v>
      </c>
      <c r="F51" s="8">
        <f>156.6/0.87</f>
        <v>180</v>
      </c>
      <c r="G51" s="8">
        <f t="shared" si="12"/>
        <v>0</v>
      </c>
    </row>
    <row r="52" spans="1:7" x14ac:dyDescent="0.25">
      <c r="A52" s="7">
        <f t="shared" si="10"/>
        <v>8</v>
      </c>
      <c r="B52" s="26" t="s">
        <v>137</v>
      </c>
      <c r="C52" s="34">
        <v>3.5000000000000003E-2</v>
      </c>
      <c r="D52" s="7" t="s">
        <v>6</v>
      </c>
      <c r="E52" s="7">
        <f t="shared" si="11"/>
        <v>0</v>
      </c>
      <c r="F52" s="8">
        <f>18.7/0.87</f>
        <v>21.494252873563219</v>
      </c>
      <c r="G52" s="8">
        <f t="shared" si="12"/>
        <v>0</v>
      </c>
    </row>
    <row r="53" spans="1:7" x14ac:dyDescent="0.25">
      <c r="A53" s="7">
        <f t="shared" si="10"/>
        <v>9</v>
      </c>
      <c r="B53" s="26" t="s">
        <v>84</v>
      </c>
      <c r="C53" s="34">
        <v>0.04</v>
      </c>
      <c r="D53" s="7" t="s">
        <v>6</v>
      </c>
      <c r="E53" s="7">
        <f t="shared" si="11"/>
        <v>0</v>
      </c>
      <c r="F53" s="8">
        <f>14/0.87</f>
        <v>16.091954022988507</v>
      </c>
      <c r="G53" s="8">
        <f t="shared" si="12"/>
        <v>0</v>
      </c>
    </row>
    <row r="54" spans="1:7" x14ac:dyDescent="0.25">
      <c r="A54" s="7">
        <f t="shared" si="10"/>
        <v>10</v>
      </c>
      <c r="B54" s="26" t="s">
        <v>21</v>
      </c>
      <c r="C54" s="34">
        <v>0.01</v>
      </c>
      <c r="D54" s="7" t="s">
        <v>6</v>
      </c>
      <c r="E54" s="7">
        <f t="shared" si="11"/>
        <v>0</v>
      </c>
      <c r="F54" s="8">
        <f>0.73/0.87</f>
        <v>0.83908045977011492</v>
      </c>
      <c r="G54" s="8">
        <f t="shared" si="12"/>
        <v>0</v>
      </c>
    </row>
    <row r="55" spans="1:7" x14ac:dyDescent="0.25">
      <c r="A55" s="7">
        <f t="shared" si="10"/>
        <v>11</v>
      </c>
      <c r="B55" s="26" t="s">
        <v>215</v>
      </c>
      <c r="C55" s="34">
        <v>0.3</v>
      </c>
      <c r="D55" s="7" t="s">
        <v>6</v>
      </c>
      <c r="E55" s="7">
        <f t="shared" si="11"/>
        <v>0</v>
      </c>
      <c r="F55" s="29">
        <v>130</v>
      </c>
      <c r="G55" s="8">
        <f t="shared" si="12"/>
        <v>0</v>
      </c>
    </row>
    <row r="56" spans="1:7" x14ac:dyDescent="0.25">
      <c r="A56" s="7"/>
      <c r="B56" s="26" t="s">
        <v>67</v>
      </c>
      <c r="C56" s="35">
        <f>SUM(C45:C55)</f>
        <v>4.9189999999999987</v>
      </c>
      <c r="D56" s="7" t="s">
        <v>6</v>
      </c>
      <c r="E56" s="7"/>
      <c r="F56" s="7"/>
      <c r="G56" s="8"/>
    </row>
    <row r="57" spans="1:7" x14ac:dyDescent="0.25">
      <c r="A57" s="7"/>
      <c r="B57" s="26" t="s">
        <v>228</v>
      </c>
      <c r="C57" s="7">
        <f>+C56-C51-C50*0.3-C49-C47*0.7-C48*0.7</f>
        <v>4.1769999999999996</v>
      </c>
      <c r="D57" s="7" t="s">
        <v>6</v>
      </c>
      <c r="E57" s="7"/>
      <c r="F57" s="7"/>
      <c r="G57" s="7"/>
    </row>
    <row r="59" spans="1:7" x14ac:dyDescent="0.25">
      <c r="B59" s="3" t="s">
        <v>230</v>
      </c>
      <c r="C59" s="3">
        <f>+C14/4/1000</f>
        <v>0</v>
      </c>
      <c r="D59" s="3" t="s">
        <v>6</v>
      </c>
      <c r="E59" s="3"/>
      <c r="F59" s="32" t="e">
        <f>+G59/C59</f>
        <v>#DIV/0!</v>
      </c>
      <c r="G59" s="32">
        <f>SUM(G60:G72)</f>
        <v>0</v>
      </c>
    </row>
    <row r="60" spans="1:7" x14ac:dyDescent="0.25">
      <c r="A60" s="7">
        <f t="shared" ref="A60:A72" si="13">+A59+1</f>
        <v>1</v>
      </c>
      <c r="B60" s="26" t="s">
        <v>103</v>
      </c>
      <c r="C60" s="34">
        <v>2.5</v>
      </c>
      <c r="D60" s="7" t="s">
        <v>6</v>
      </c>
      <c r="E60" s="7">
        <f>+C60/$C$74*$C$59</f>
        <v>0</v>
      </c>
      <c r="F60" s="8">
        <v>4.8</v>
      </c>
      <c r="G60" s="8">
        <f>+C60/$C$74*$C$59*F60</f>
        <v>0</v>
      </c>
    </row>
    <row r="61" spans="1:7" x14ac:dyDescent="0.25">
      <c r="A61" s="7">
        <f t="shared" si="13"/>
        <v>2</v>
      </c>
      <c r="B61" s="26" t="s">
        <v>171</v>
      </c>
      <c r="C61" s="34">
        <v>0.94000000000000017</v>
      </c>
      <c r="D61" s="7" t="s">
        <v>6</v>
      </c>
      <c r="E61" s="7">
        <f t="shared" ref="E61:E72" si="14">+C61/$C$74*$C$59</f>
        <v>0</v>
      </c>
      <c r="F61" s="8">
        <f>4.16/0.87</f>
        <v>4.7816091954022992</v>
      </c>
      <c r="G61" s="8">
        <f t="shared" ref="G61:G72" si="15">+C61/$C$74*$C$59*F61</f>
        <v>0</v>
      </c>
    </row>
    <row r="62" spans="1:7" x14ac:dyDescent="0.25">
      <c r="A62" s="7">
        <f t="shared" si="13"/>
        <v>3</v>
      </c>
      <c r="B62" s="26" t="s">
        <v>172</v>
      </c>
      <c r="C62" s="34">
        <v>0.47</v>
      </c>
      <c r="D62" s="7" t="s">
        <v>6</v>
      </c>
      <c r="E62" s="7">
        <f t="shared" si="14"/>
        <v>0</v>
      </c>
      <c r="F62" s="8">
        <f>13.45/0.87</f>
        <v>15.459770114942527</v>
      </c>
      <c r="G62" s="8">
        <f t="shared" si="15"/>
        <v>0</v>
      </c>
    </row>
    <row r="63" spans="1:7" x14ac:dyDescent="0.25">
      <c r="A63" s="7">
        <f t="shared" si="13"/>
        <v>4</v>
      </c>
      <c r="B63" s="26" t="s">
        <v>166</v>
      </c>
      <c r="C63" s="34">
        <v>0.47</v>
      </c>
      <c r="D63" s="7" t="s">
        <v>6</v>
      </c>
      <c r="E63" s="7">
        <f t="shared" si="14"/>
        <v>0</v>
      </c>
      <c r="F63" s="8">
        <f>14.26/0.87</f>
        <v>16.390804597701148</v>
      </c>
      <c r="G63" s="8">
        <f t="shared" si="15"/>
        <v>0</v>
      </c>
    </row>
    <row r="64" spans="1:7" x14ac:dyDescent="0.25">
      <c r="A64" s="7">
        <f t="shared" si="13"/>
        <v>5</v>
      </c>
      <c r="B64" s="26" t="s">
        <v>105</v>
      </c>
      <c r="C64" s="34">
        <v>0.05</v>
      </c>
      <c r="D64" s="7" t="s">
        <v>6</v>
      </c>
      <c r="E64" s="7">
        <f t="shared" si="14"/>
        <v>0</v>
      </c>
      <c r="F64" s="8">
        <f>17.4/0.87</f>
        <v>20</v>
      </c>
      <c r="G64" s="8">
        <f t="shared" si="15"/>
        <v>0</v>
      </c>
    </row>
    <row r="65" spans="1:7" x14ac:dyDescent="0.25">
      <c r="A65" s="7">
        <f t="shared" si="13"/>
        <v>6</v>
      </c>
      <c r="B65" s="27" t="s">
        <v>213</v>
      </c>
      <c r="C65" s="34">
        <v>0.1</v>
      </c>
      <c r="D65" s="7" t="s">
        <v>6</v>
      </c>
      <c r="E65" s="7">
        <f t="shared" si="14"/>
        <v>0</v>
      </c>
      <c r="F65" s="8">
        <v>3.8</v>
      </c>
      <c r="G65" s="8">
        <f t="shared" si="15"/>
        <v>0</v>
      </c>
    </row>
    <row r="66" spans="1:7" x14ac:dyDescent="0.25">
      <c r="A66" s="7">
        <f t="shared" si="13"/>
        <v>7</v>
      </c>
      <c r="B66" s="26" t="s">
        <v>85</v>
      </c>
      <c r="C66" s="34">
        <v>1.0999999999999999E-2</v>
      </c>
      <c r="D66" s="7" t="s">
        <v>6</v>
      </c>
      <c r="E66" s="7">
        <f t="shared" si="14"/>
        <v>0</v>
      </c>
      <c r="F66" s="8">
        <f>188.71/0.87</f>
        <v>216.90804597701151</v>
      </c>
      <c r="G66" s="8">
        <f t="shared" si="15"/>
        <v>0</v>
      </c>
    </row>
    <row r="67" spans="1:7" x14ac:dyDescent="0.25">
      <c r="A67" s="7">
        <f t="shared" si="13"/>
        <v>8</v>
      </c>
      <c r="B67" s="26" t="s">
        <v>86</v>
      </c>
      <c r="C67" s="34">
        <v>4.0000000000000001E-3</v>
      </c>
      <c r="D67" s="7" t="s">
        <v>6</v>
      </c>
      <c r="E67" s="7">
        <f t="shared" si="14"/>
        <v>0</v>
      </c>
      <c r="F67" s="8">
        <f>78.3/0.87</f>
        <v>90</v>
      </c>
      <c r="G67" s="8">
        <f t="shared" si="15"/>
        <v>0</v>
      </c>
    </row>
    <row r="68" spans="1:7" x14ac:dyDescent="0.25">
      <c r="A68" s="7">
        <f t="shared" si="13"/>
        <v>9</v>
      </c>
      <c r="B68" s="26" t="s">
        <v>137</v>
      </c>
      <c r="C68" s="34">
        <v>3.5000000000000003E-2</v>
      </c>
      <c r="D68" s="7" t="s">
        <v>6</v>
      </c>
      <c r="E68" s="7">
        <f t="shared" si="14"/>
        <v>0</v>
      </c>
      <c r="F68" s="8">
        <f>18.7/0.87</f>
        <v>21.494252873563219</v>
      </c>
      <c r="G68" s="8">
        <f t="shared" si="15"/>
        <v>0</v>
      </c>
    </row>
    <row r="69" spans="1:7" x14ac:dyDescent="0.25">
      <c r="A69" s="7">
        <f t="shared" si="13"/>
        <v>10</v>
      </c>
      <c r="B69" s="26" t="s">
        <v>84</v>
      </c>
      <c r="C69" s="34">
        <v>0.04</v>
      </c>
      <c r="D69" s="7" t="s">
        <v>6</v>
      </c>
      <c r="E69" s="7">
        <f t="shared" si="14"/>
        <v>0</v>
      </c>
      <c r="F69" s="8">
        <f>14/0.87</f>
        <v>16.091954022988507</v>
      </c>
      <c r="G69" s="8">
        <f t="shared" si="15"/>
        <v>0</v>
      </c>
    </row>
    <row r="70" spans="1:7" x14ac:dyDescent="0.25">
      <c r="A70" s="7">
        <f t="shared" si="13"/>
        <v>11</v>
      </c>
      <c r="B70" s="26" t="s">
        <v>21</v>
      </c>
      <c r="C70" s="34">
        <v>0.01</v>
      </c>
      <c r="D70" s="7" t="s">
        <v>6</v>
      </c>
      <c r="E70" s="7">
        <f t="shared" si="14"/>
        <v>0</v>
      </c>
      <c r="F70" s="8">
        <f>0.73/0.87</f>
        <v>0.83908045977011492</v>
      </c>
      <c r="G70" s="8">
        <f t="shared" si="15"/>
        <v>0</v>
      </c>
    </row>
    <row r="71" spans="1:7" x14ac:dyDescent="0.25">
      <c r="A71" s="7">
        <f t="shared" si="13"/>
        <v>12</v>
      </c>
      <c r="B71" s="26" t="s">
        <v>106</v>
      </c>
      <c r="C71" s="34">
        <v>7.0000000000000001E-3</v>
      </c>
      <c r="D71" s="7" t="s">
        <v>6</v>
      </c>
      <c r="E71" s="7">
        <f t="shared" si="14"/>
        <v>0</v>
      </c>
      <c r="F71" s="8">
        <f>13.92/0.87</f>
        <v>16</v>
      </c>
      <c r="G71" s="8">
        <f t="shared" si="15"/>
        <v>0</v>
      </c>
    </row>
    <row r="72" spans="1:7" x14ac:dyDescent="0.25">
      <c r="A72" s="7">
        <f t="shared" si="13"/>
        <v>13</v>
      </c>
      <c r="B72" s="26" t="s">
        <v>89</v>
      </c>
      <c r="C72" s="34">
        <v>1.4999999999999999E-2</v>
      </c>
      <c r="D72" s="7" t="s">
        <v>6</v>
      </c>
      <c r="E72" s="7">
        <f t="shared" si="14"/>
        <v>0</v>
      </c>
      <c r="F72" s="8">
        <f>23.49/0.87</f>
        <v>27</v>
      </c>
      <c r="G72" s="8">
        <f t="shared" si="15"/>
        <v>0</v>
      </c>
    </row>
    <row r="73" spans="1:7" x14ac:dyDescent="0.25">
      <c r="A73" s="7"/>
      <c r="B73" s="26" t="s">
        <v>67</v>
      </c>
      <c r="C73" s="35">
        <f>SUM(C60:C72)</f>
        <v>4.6519999999999984</v>
      </c>
      <c r="D73" s="7" t="s">
        <v>6</v>
      </c>
      <c r="E73" s="7"/>
      <c r="F73" s="7"/>
      <c r="G73" s="8"/>
    </row>
    <row r="74" spans="1:7" x14ac:dyDescent="0.25">
      <c r="A74" s="7"/>
      <c r="B74" s="26" t="s">
        <v>228</v>
      </c>
      <c r="C74" s="7">
        <f>+C73-C66-C67-C65*0.3-C64-C62*0.7-C63*0.7-C71</f>
        <v>3.891999999999999</v>
      </c>
      <c r="D74" s="7" t="s">
        <v>6</v>
      </c>
      <c r="E74" s="7"/>
      <c r="F74" s="7"/>
      <c r="G74" s="7"/>
    </row>
  </sheetData>
  <mergeCells count="2">
    <mergeCell ref="A1:G1"/>
    <mergeCell ref="A2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7"/>
  <sheetViews>
    <sheetView workbookViewId="0">
      <selection activeCell="E1" sqref="E1:K20"/>
    </sheetView>
  </sheetViews>
  <sheetFormatPr baseColWidth="10" defaultRowHeight="15" x14ac:dyDescent="0.25"/>
  <cols>
    <col min="1" max="1" width="2" customWidth="1"/>
    <col min="2" max="2" width="23.140625" customWidth="1"/>
    <col min="3" max="3" width="6.85546875" customWidth="1"/>
    <col min="4" max="4" width="4.140625" customWidth="1"/>
    <col min="5" max="5" width="7.7109375" customWidth="1"/>
    <col min="6" max="6" width="8.7109375" customWidth="1"/>
    <col min="8" max="8" width="12.7109375" customWidth="1"/>
  </cols>
  <sheetData>
    <row r="1" spans="1:7" x14ac:dyDescent="0.25">
      <c r="C1" s="2"/>
      <c r="D1" s="2"/>
      <c r="E1" s="2"/>
      <c r="F1" s="2"/>
      <c r="G1" s="2"/>
    </row>
    <row r="2" spans="1:7" x14ac:dyDescent="0.25">
      <c r="C2" s="2" t="s">
        <v>16</v>
      </c>
      <c r="D2" s="2"/>
      <c r="E2" s="2"/>
      <c r="F2" s="2"/>
      <c r="G2" s="2"/>
    </row>
    <row r="3" spans="1:7" x14ac:dyDescent="0.25">
      <c r="A3" s="3" t="s">
        <v>129</v>
      </c>
      <c r="C3" s="4" t="s">
        <v>58</v>
      </c>
      <c r="D3" t="s">
        <v>27</v>
      </c>
      <c r="E3" s="24"/>
      <c r="F3" s="13"/>
      <c r="G3" s="5"/>
    </row>
    <row r="4" spans="1:7" x14ac:dyDescent="0.25">
      <c r="A4" s="3"/>
      <c r="B4" t="s">
        <v>130</v>
      </c>
      <c r="C4">
        <v>0.1</v>
      </c>
      <c r="D4" t="s">
        <v>6</v>
      </c>
      <c r="E4" s="6"/>
      <c r="F4" s="5"/>
      <c r="G4" s="5"/>
    </row>
    <row r="5" spans="1:7" x14ac:dyDescent="0.25">
      <c r="A5" s="3"/>
      <c r="B5" t="s">
        <v>131</v>
      </c>
      <c r="C5">
        <v>1</v>
      </c>
      <c r="D5" t="s">
        <v>6</v>
      </c>
      <c r="E5" s="5"/>
      <c r="F5" s="5"/>
      <c r="G5" s="5"/>
    </row>
    <row r="6" spans="1:7" x14ac:dyDescent="0.25">
      <c r="A6" s="3"/>
      <c r="B6" t="s">
        <v>35</v>
      </c>
      <c r="C6">
        <v>6.0000000000000001E-3</v>
      </c>
      <c r="D6" t="s">
        <v>15</v>
      </c>
      <c r="E6" s="5"/>
      <c r="F6" s="5"/>
      <c r="G6" s="5"/>
    </row>
    <row r="7" spans="1:7" x14ac:dyDescent="0.25">
      <c r="A7" s="3"/>
      <c r="E7" s="5"/>
      <c r="F7" s="5"/>
      <c r="G7" s="5"/>
    </row>
    <row r="8" spans="1:7" x14ac:dyDescent="0.25">
      <c r="A8" s="3" t="s">
        <v>132</v>
      </c>
      <c r="C8">
        <v>5</v>
      </c>
      <c r="D8" t="s">
        <v>138</v>
      </c>
      <c r="E8" s="5"/>
      <c r="F8" s="13"/>
      <c r="G8" s="5"/>
    </row>
    <row r="9" spans="1:7" x14ac:dyDescent="0.25">
      <c r="A9" s="3"/>
      <c r="B9" t="s">
        <v>133</v>
      </c>
      <c r="C9">
        <v>90</v>
      </c>
      <c r="D9" t="s">
        <v>6</v>
      </c>
      <c r="E9" s="5"/>
      <c r="F9" s="5"/>
      <c r="G9" s="5"/>
    </row>
    <row r="10" spans="1:7" x14ac:dyDescent="0.25">
      <c r="A10" s="3"/>
      <c r="B10" t="s">
        <v>134</v>
      </c>
      <c r="C10">
        <v>120</v>
      </c>
      <c r="D10" t="s">
        <v>6</v>
      </c>
      <c r="E10" s="5"/>
      <c r="F10" s="5"/>
      <c r="G10" s="5"/>
    </row>
    <row r="11" spans="1:7" x14ac:dyDescent="0.25">
      <c r="A11" s="3"/>
      <c r="B11" t="s">
        <v>135</v>
      </c>
      <c r="C11">
        <v>1</v>
      </c>
      <c r="D11" t="s">
        <v>6</v>
      </c>
      <c r="E11" s="5"/>
      <c r="F11" s="5"/>
      <c r="G11" s="5"/>
    </row>
    <row r="12" spans="1:7" x14ac:dyDescent="0.25">
      <c r="A12" s="3"/>
      <c r="B12" t="s">
        <v>40</v>
      </c>
      <c r="C12">
        <v>3.96</v>
      </c>
      <c r="D12" t="s">
        <v>6</v>
      </c>
      <c r="E12" s="5"/>
      <c r="F12" s="5"/>
      <c r="G12" s="5"/>
    </row>
    <row r="13" spans="1:7" x14ac:dyDescent="0.25">
      <c r="B13" t="s">
        <v>136</v>
      </c>
      <c r="C13">
        <v>3.96</v>
      </c>
      <c r="D13" t="s">
        <v>6</v>
      </c>
      <c r="G13" s="5"/>
    </row>
    <row r="14" spans="1:7" x14ac:dyDescent="0.25">
      <c r="B14" t="s">
        <v>137</v>
      </c>
      <c r="C14">
        <v>4.5</v>
      </c>
      <c r="D14" t="s">
        <v>6</v>
      </c>
      <c r="G14" s="5"/>
    </row>
    <row r="15" spans="1:7" x14ac:dyDescent="0.25">
      <c r="B15" t="s">
        <v>84</v>
      </c>
      <c r="C15">
        <v>0.36</v>
      </c>
      <c r="D15" t="s">
        <v>6</v>
      </c>
      <c r="G15" s="5"/>
    </row>
    <row r="16" spans="1:7" x14ac:dyDescent="0.25">
      <c r="B16" t="s">
        <v>109</v>
      </c>
      <c r="C16">
        <v>0.8</v>
      </c>
      <c r="D16" t="s">
        <v>6</v>
      </c>
      <c r="G16" s="5"/>
    </row>
    <row r="17" spans="2:7" x14ac:dyDescent="0.25">
      <c r="B17" t="s">
        <v>111</v>
      </c>
      <c r="C17">
        <v>0.13</v>
      </c>
      <c r="D17" t="s">
        <v>6</v>
      </c>
      <c r="G17" s="5"/>
    </row>
  </sheetData>
  <dataConsolidate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G134"/>
  <sheetViews>
    <sheetView zoomScale="106" zoomScaleNormal="106" workbookViewId="0">
      <pane xSplit="3" ySplit="3" topLeftCell="D88" activePane="bottomRight" state="frozen"/>
      <selection pane="topRight" activeCell="C1" sqref="C1"/>
      <selection pane="bottomLeft" activeCell="A5" sqref="A5"/>
      <selection pane="bottomRight" activeCell="J90" sqref="J90"/>
    </sheetView>
  </sheetViews>
  <sheetFormatPr baseColWidth="10" defaultRowHeight="15" x14ac:dyDescent="0.25"/>
  <cols>
    <col min="1" max="1" width="8.140625" customWidth="1"/>
    <col min="2" max="2" width="7.28515625" customWidth="1"/>
    <col min="3" max="3" width="29.140625" customWidth="1"/>
    <col min="4" max="4" width="7.85546875" customWidth="1"/>
    <col min="5" max="5" width="9.42578125" customWidth="1"/>
    <col min="6" max="6" width="9.5703125" customWidth="1"/>
    <col min="7" max="7" width="24" customWidth="1"/>
  </cols>
  <sheetData>
    <row r="1" spans="1:7" x14ac:dyDescent="0.25">
      <c r="B1" s="48" t="s">
        <v>307</v>
      </c>
      <c r="C1" s="48"/>
      <c r="D1" s="48"/>
      <c r="E1" s="48"/>
      <c r="F1" s="48"/>
      <c r="G1" s="48"/>
    </row>
    <row r="2" spans="1:7" x14ac:dyDescent="0.25">
      <c r="A2" s="15"/>
      <c r="B2" s="15"/>
      <c r="C2" s="9"/>
      <c r="D2" s="9"/>
      <c r="E2" s="9" t="s">
        <v>66</v>
      </c>
      <c r="F2" s="9" t="s">
        <v>262</v>
      </c>
      <c r="G2" s="9" t="s">
        <v>260</v>
      </c>
    </row>
    <row r="3" spans="1:7" x14ac:dyDescent="0.25">
      <c r="A3" s="10" t="s">
        <v>296</v>
      </c>
      <c r="B3" s="10" t="s">
        <v>151</v>
      </c>
      <c r="C3" s="10" t="s">
        <v>68</v>
      </c>
      <c r="D3" s="10" t="s">
        <v>118</v>
      </c>
      <c r="E3" s="10" t="s">
        <v>67</v>
      </c>
      <c r="F3" s="10" t="s">
        <v>263</v>
      </c>
      <c r="G3" s="10" t="s">
        <v>261</v>
      </c>
    </row>
    <row r="4" spans="1:7" x14ac:dyDescent="0.25">
      <c r="A4" s="7">
        <v>100</v>
      </c>
      <c r="B4" s="7">
        <v>20006</v>
      </c>
      <c r="C4" s="7" t="s">
        <v>10</v>
      </c>
      <c r="D4" s="11" t="s">
        <v>6</v>
      </c>
      <c r="E4" s="25">
        <f>+Pipa!G12</f>
        <v>0</v>
      </c>
      <c r="F4" s="7"/>
      <c r="G4" s="7"/>
    </row>
    <row r="5" spans="1:7" x14ac:dyDescent="0.25">
      <c r="A5" s="7">
        <v>400</v>
      </c>
      <c r="B5" s="7">
        <v>20007</v>
      </c>
      <c r="C5" s="7" t="s">
        <v>148</v>
      </c>
      <c r="D5" s="11" t="s">
        <v>6</v>
      </c>
      <c r="E5" s="25">
        <f>+Choconax!G5</f>
        <v>0</v>
      </c>
      <c r="F5" s="7"/>
      <c r="G5" s="7"/>
    </row>
    <row r="6" spans="1:7" x14ac:dyDescent="0.25">
      <c r="A6" s="7">
        <v>500</v>
      </c>
      <c r="B6" s="7">
        <v>44115</v>
      </c>
      <c r="C6" s="7" t="s">
        <v>273</v>
      </c>
      <c r="D6" s="11" t="s">
        <v>6</v>
      </c>
      <c r="E6" s="25">
        <f>+Tocino!G36</f>
        <v>0</v>
      </c>
      <c r="F6" s="7"/>
      <c r="G6" s="7"/>
    </row>
    <row r="7" spans="1:7" x14ac:dyDescent="0.25">
      <c r="A7" s="7">
        <v>400</v>
      </c>
      <c r="B7" s="7">
        <v>20022</v>
      </c>
      <c r="C7" s="7" t="s">
        <v>130</v>
      </c>
      <c r="D7" s="11" t="s">
        <v>6</v>
      </c>
      <c r="E7" s="25">
        <f>+Cuñapé!G4</f>
        <v>0</v>
      </c>
      <c r="F7" s="7"/>
      <c r="G7" s="7"/>
    </row>
    <row r="8" spans="1:7" x14ac:dyDescent="0.25">
      <c r="A8" s="7">
        <v>400</v>
      </c>
      <c r="B8" s="7">
        <v>20081</v>
      </c>
      <c r="C8" s="7" t="s">
        <v>61</v>
      </c>
      <c r="D8" s="11" t="s">
        <v>6</v>
      </c>
      <c r="E8" s="25">
        <f>+Megablon!G5</f>
        <v>24.75</v>
      </c>
      <c r="F8" s="7"/>
      <c r="G8" s="7"/>
    </row>
    <row r="9" spans="1:7" x14ac:dyDescent="0.25">
      <c r="A9" s="7">
        <v>200</v>
      </c>
      <c r="B9" s="7">
        <v>20085</v>
      </c>
      <c r="C9" s="7" t="s">
        <v>185</v>
      </c>
      <c r="D9" s="11" t="s">
        <v>6</v>
      </c>
      <c r="E9" s="25">
        <f>+Nacho!G15</f>
        <v>0</v>
      </c>
      <c r="F9" s="7"/>
      <c r="G9" s="7"/>
    </row>
    <row r="10" spans="1:7" x14ac:dyDescent="0.25">
      <c r="A10" s="7">
        <v>200</v>
      </c>
      <c r="B10" s="7">
        <v>20091</v>
      </c>
      <c r="C10" s="7" t="s">
        <v>30</v>
      </c>
      <c r="D10" s="11" t="s">
        <v>6</v>
      </c>
      <c r="E10" s="25">
        <f>+Nacho!G6</f>
        <v>0</v>
      </c>
      <c r="F10" s="7"/>
      <c r="G10" s="7"/>
    </row>
    <row r="11" spans="1:7" x14ac:dyDescent="0.25">
      <c r="A11" s="7">
        <v>200</v>
      </c>
      <c r="B11" s="7">
        <v>21004</v>
      </c>
      <c r="C11" s="7" t="s">
        <v>190</v>
      </c>
      <c r="D11" s="11" t="s">
        <v>6</v>
      </c>
      <c r="E11" s="25">
        <f>+Nacho!G44</f>
        <v>0</v>
      </c>
      <c r="F11" s="7"/>
      <c r="G11" s="7"/>
    </row>
    <row r="12" spans="1:7" x14ac:dyDescent="0.25">
      <c r="A12" s="7">
        <v>200</v>
      </c>
      <c r="B12" s="7">
        <v>21000</v>
      </c>
      <c r="C12" s="7" t="s">
        <v>93</v>
      </c>
      <c r="D12" s="11" t="s">
        <v>6</v>
      </c>
      <c r="E12" s="25">
        <f>+Nacho!G24</f>
        <v>0</v>
      </c>
      <c r="F12" s="7"/>
      <c r="G12" s="7"/>
    </row>
    <row r="13" spans="1:7" x14ac:dyDescent="0.25">
      <c r="A13" s="7">
        <v>200</v>
      </c>
      <c r="B13" s="7">
        <v>21001</v>
      </c>
      <c r="C13" s="7" t="s">
        <v>162</v>
      </c>
      <c r="D13" s="11" t="s">
        <v>6</v>
      </c>
      <c r="E13" s="25">
        <f>+Nacho!G30</f>
        <v>0</v>
      </c>
      <c r="F13" s="7"/>
      <c r="G13" s="7"/>
    </row>
    <row r="14" spans="1:7" x14ac:dyDescent="0.25">
      <c r="A14" s="7">
        <v>200</v>
      </c>
      <c r="B14" s="7">
        <v>20076</v>
      </c>
      <c r="C14" s="7" t="s">
        <v>122</v>
      </c>
      <c r="D14" s="11" t="s">
        <v>6</v>
      </c>
      <c r="E14" s="25">
        <f>+Nacho!G37</f>
        <v>0</v>
      </c>
      <c r="F14" s="7"/>
      <c r="G14" s="7"/>
    </row>
    <row r="15" spans="1:7" x14ac:dyDescent="0.25">
      <c r="A15" s="7">
        <v>300</v>
      </c>
      <c r="B15" s="7">
        <v>20086</v>
      </c>
      <c r="C15" s="7" t="s">
        <v>50</v>
      </c>
      <c r="D15" s="11" t="s">
        <v>6</v>
      </c>
      <c r="E15" s="25">
        <f>+Papa!G16</f>
        <v>0</v>
      </c>
      <c r="F15" s="7"/>
      <c r="G15" s="7"/>
    </row>
    <row r="16" spans="1:7" x14ac:dyDescent="0.25">
      <c r="A16" s="7">
        <v>300</v>
      </c>
      <c r="B16" s="7">
        <v>20089</v>
      </c>
      <c r="C16" s="7" t="s">
        <v>49</v>
      </c>
      <c r="D16" s="11" t="s">
        <v>6</v>
      </c>
      <c r="E16" s="25">
        <f>+Papa!G6</f>
        <v>0</v>
      </c>
      <c r="F16" s="7"/>
      <c r="G16" s="7"/>
    </row>
    <row r="17" spans="1:7" x14ac:dyDescent="0.25">
      <c r="A17" s="7">
        <v>300</v>
      </c>
      <c r="B17" s="7">
        <v>20108</v>
      </c>
      <c r="C17" s="7" t="s">
        <v>199</v>
      </c>
      <c r="D17" s="11" t="s">
        <v>6</v>
      </c>
      <c r="E17" s="25">
        <f>+Papa!G26</f>
        <v>0</v>
      </c>
      <c r="F17" s="7"/>
      <c r="G17" s="7"/>
    </row>
    <row r="18" spans="1:7" x14ac:dyDescent="0.25">
      <c r="A18" s="7">
        <v>300</v>
      </c>
      <c r="B18" s="7">
        <v>20109</v>
      </c>
      <c r="C18" s="7" t="s">
        <v>201</v>
      </c>
      <c r="D18" s="11" t="s">
        <v>6</v>
      </c>
      <c r="E18" s="25">
        <f>+Papa!G33</f>
        <v>0</v>
      </c>
      <c r="F18" s="7"/>
      <c r="G18" s="7"/>
    </row>
    <row r="19" spans="1:7" x14ac:dyDescent="0.25">
      <c r="A19" s="7">
        <v>300</v>
      </c>
      <c r="B19" s="7">
        <v>21006</v>
      </c>
      <c r="C19" s="7" t="s">
        <v>238</v>
      </c>
      <c r="D19" s="11" t="s">
        <v>6</v>
      </c>
      <c r="E19" s="25">
        <f>+Papa!G49</f>
        <v>0</v>
      </c>
      <c r="F19" s="7"/>
      <c r="G19" s="7"/>
    </row>
    <row r="20" spans="1:7" x14ac:dyDescent="0.25">
      <c r="A20" s="7">
        <v>300</v>
      </c>
      <c r="B20" s="7">
        <v>21005</v>
      </c>
      <c r="C20" s="7" t="s">
        <v>210</v>
      </c>
      <c r="D20" s="11" t="s">
        <v>6</v>
      </c>
      <c r="E20" s="25">
        <f>+Papa!G40</f>
        <v>0</v>
      </c>
      <c r="F20" s="7"/>
      <c r="G20" s="7"/>
    </row>
    <row r="21" spans="1:7" x14ac:dyDescent="0.25">
      <c r="A21" s="7">
        <v>100</v>
      </c>
      <c r="B21" s="7">
        <v>20053</v>
      </c>
      <c r="C21" s="7" t="s">
        <v>7</v>
      </c>
      <c r="D21" s="11" t="s">
        <v>6</v>
      </c>
      <c r="E21" s="25">
        <f>+Pipa!G5</f>
        <v>0</v>
      </c>
      <c r="F21" s="7"/>
      <c r="G21" s="7"/>
    </row>
    <row r="22" spans="1:7" x14ac:dyDescent="0.25">
      <c r="A22" s="7">
        <v>500</v>
      </c>
      <c r="B22" s="7">
        <v>20044</v>
      </c>
      <c r="C22" s="7" t="s">
        <v>55</v>
      </c>
      <c r="D22" s="11" t="s">
        <v>6</v>
      </c>
      <c r="E22" s="25">
        <f>+Tocino!G5</f>
        <v>0</v>
      </c>
      <c r="F22" s="7"/>
      <c r="G22" s="7"/>
    </row>
    <row r="23" spans="1:7" x14ac:dyDescent="0.25">
      <c r="A23" s="7">
        <v>500</v>
      </c>
      <c r="B23" s="7">
        <v>200100</v>
      </c>
      <c r="C23" s="7" t="s">
        <v>246</v>
      </c>
      <c r="D23" s="11" t="s">
        <v>6</v>
      </c>
      <c r="E23" s="25">
        <f>+Tocino!G20</f>
        <v>0</v>
      </c>
      <c r="F23" s="7"/>
      <c r="G23" s="7"/>
    </row>
    <row r="24" spans="1:7" x14ac:dyDescent="0.25">
      <c r="A24" s="7">
        <v>400</v>
      </c>
      <c r="B24" s="7">
        <v>20104</v>
      </c>
      <c r="C24" s="7" t="s">
        <v>275</v>
      </c>
      <c r="D24" s="11" t="s">
        <v>6</v>
      </c>
      <c r="E24" s="25">
        <f>+Escuelin_Des!G5</f>
        <v>0</v>
      </c>
      <c r="F24" s="7"/>
      <c r="G24" s="7"/>
    </row>
    <row r="25" spans="1:7" x14ac:dyDescent="0.25">
      <c r="A25" s="7">
        <v>400</v>
      </c>
      <c r="B25" s="7">
        <v>20011</v>
      </c>
      <c r="C25" s="7" t="s">
        <v>186</v>
      </c>
      <c r="D25" s="11" t="s">
        <v>6</v>
      </c>
      <c r="E25" s="25">
        <f>+Escuelin!G6</f>
        <v>0</v>
      </c>
      <c r="F25" s="7"/>
      <c r="G25" s="7"/>
    </row>
    <row r="26" spans="1:7" x14ac:dyDescent="0.25">
      <c r="A26" s="7">
        <v>400</v>
      </c>
      <c r="B26" s="7">
        <v>20077</v>
      </c>
      <c r="C26" s="7" t="s">
        <v>235</v>
      </c>
      <c r="D26" s="11" t="s">
        <v>6</v>
      </c>
      <c r="E26" s="25">
        <f>+Navideña!G9</f>
        <v>0</v>
      </c>
      <c r="F26" s="7"/>
      <c r="G26" s="7"/>
    </row>
    <row r="27" spans="1:7" x14ac:dyDescent="0.25">
      <c r="A27" s="7">
        <v>100</v>
      </c>
      <c r="B27" s="7">
        <v>20004</v>
      </c>
      <c r="C27" s="7" t="s">
        <v>12</v>
      </c>
      <c r="D27" s="11" t="s">
        <v>6</v>
      </c>
      <c r="E27" s="25">
        <f>+Pipa!G13</f>
        <v>0</v>
      </c>
      <c r="F27" s="7"/>
      <c r="G27" s="7"/>
    </row>
    <row r="28" spans="1:7" x14ac:dyDescent="0.25">
      <c r="A28" s="7">
        <v>100</v>
      </c>
      <c r="B28" s="7">
        <v>20062</v>
      </c>
      <c r="C28" s="7" t="s">
        <v>13</v>
      </c>
      <c r="D28" s="11" t="s">
        <v>6</v>
      </c>
      <c r="E28" s="25">
        <f>+Pipa!G6</f>
        <v>0</v>
      </c>
      <c r="F28" s="7"/>
      <c r="G28" s="7"/>
    </row>
    <row r="29" spans="1:7" x14ac:dyDescent="0.25">
      <c r="A29" s="7">
        <v>400</v>
      </c>
      <c r="B29" s="7">
        <v>20043</v>
      </c>
      <c r="C29" s="7" t="s">
        <v>140</v>
      </c>
      <c r="D29" s="11" t="s">
        <v>6</v>
      </c>
      <c r="E29" s="25">
        <f>+Escuelin!G13</f>
        <v>0</v>
      </c>
      <c r="F29" s="7"/>
      <c r="G29" s="7"/>
    </row>
    <row r="30" spans="1:7" x14ac:dyDescent="0.25">
      <c r="A30" s="7">
        <v>100</v>
      </c>
      <c r="B30" s="7">
        <v>20001</v>
      </c>
      <c r="C30" s="7" t="s">
        <v>11</v>
      </c>
      <c r="D30" s="11" t="s">
        <v>6</v>
      </c>
      <c r="E30" s="25">
        <f>+Pipa!G14</f>
        <v>0</v>
      </c>
      <c r="F30" s="7"/>
      <c r="G30" s="7"/>
    </row>
    <row r="31" spans="1:7" x14ac:dyDescent="0.25">
      <c r="A31" s="7">
        <v>100</v>
      </c>
      <c r="B31" s="7">
        <v>20002</v>
      </c>
      <c r="C31" s="7" t="s">
        <v>309</v>
      </c>
      <c r="D31" s="11" t="s">
        <v>6</v>
      </c>
      <c r="E31" s="25">
        <f>+Pipa!G7</f>
        <v>0</v>
      </c>
      <c r="F31" s="7"/>
      <c r="G31" s="7"/>
    </row>
    <row r="32" spans="1:7" x14ac:dyDescent="0.25">
      <c r="A32" s="7">
        <v>200</v>
      </c>
      <c r="B32" s="7">
        <v>20002</v>
      </c>
      <c r="C32" s="7" t="s">
        <v>308</v>
      </c>
      <c r="D32" s="11" t="s">
        <v>6</v>
      </c>
      <c r="E32" s="25">
        <f>+Nacho!G54</f>
        <v>0</v>
      </c>
      <c r="F32" s="7"/>
      <c r="G32" s="7"/>
    </row>
    <row r="33" spans="1:7" x14ac:dyDescent="0.25">
      <c r="A33" s="7">
        <v>300</v>
      </c>
      <c r="B33" s="7">
        <v>20002</v>
      </c>
      <c r="C33" s="7" t="s">
        <v>310</v>
      </c>
      <c r="D33" s="11" t="s">
        <v>6</v>
      </c>
      <c r="E33" s="25">
        <f>+Papa!G57</f>
        <v>0</v>
      </c>
      <c r="F33" s="7"/>
      <c r="G33" s="7"/>
    </row>
    <row r="34" spans="1:7" x14ac:dyDescent="0.25">
      <c r="A34" s="7">
        <v>500</v>
      </c>
      <c r="B34" s="7">
        <v>20002</v>
      </c>
      <c r="C34" s="7" t="s">
        <v>311</v>
      </c>
      <c r="D34" s="11" t="s">
        <v>6</v>
      </c>
      <c r="E34" s="25">
        <f>Tocino!G8+Tocino!G23+Tocino!G34</f>
        <v>0</v>
      </c>
      <c r="F34" s="7"/>
      <c r="G34" s="7"/>
    </row>
    <row r="35" spans="1:7" x14ac:dyDescent="0.25">
      <c r="A35" s="7">
        <v>400</v>
      </c>
      <c r="B35" s="7">
        <v>20082</v>
      </c>
      <c r="C35" s="7" t="s">
        <v>62</v>
      </c>
      <c r="D35" s="11" t="s">
        <v>6</v>
      </c>
      <c r="E35" s="25">
        <f>+Megablon!G6+Navideña!G12</f>
        <v>14.85</v>
      </c>
      <c r="F35" s="7"/>
      <c r="G35" s="7"/>
    </row>
    <row r="36" spans="1:7" x14ac:dyDescent="0.25">
      <c r="A36" s="7">
        <v>400</v>
      </c>
      <c r="B36" s="7">
        <v>6028</v>
      </c>
      <c r="C36" s="7" t="s">
        <v>234</v>
      </c>
      <c r="D36" s="11" t="s">
        <v>38</v>
      </c>
      <c r="E36" s="25">
        <f>+Navideña!G6</f>
        <v>0</v>
      </c>
      <c r="F36" s="7"/>
      <c r="G36" s="7"/>
    </row>
    <row r="37" spans="1:7" x14ac:dyDescent="0.25">
      <c r="A37" s="7">
        <v>400</v>
      </c>
      <c r="B37" s="7">
        <v>6029</v>
      </c>
      <c r="C37" s="7" t="s">
        <v>239</v>
      </c>
      <c r="D37" s="11" t="s">
        <v>38</v>
      </c>
      <c r="E37" s="25">
        <f>+Navideña!G7</f>
        <v>0</v>
      </c>
      <c r="F37" s="7"/>
      <c r="G37" s="7"/>
    </row>
    <row r="38" spans="1:7" x14ac:dyDescent="0.25">
      <c r="A38" s="7">
        <v>600</v>
      </c>
      <c r="B38" s="7">
        <v>44119</v>
      </c>
      <c r="C38" s="7" t="s">
        <v>284</v>
      </c>
      <c r="D38" s="11" t="s">
        <v>38</v>
      </c>
      <c r="E38" s="25">
        <f>+Tocino!G48</f>
        <v>0</v>
      </c>
      <c r="F38" s="7"/>
      <c r="G38" s="7"/>
    </row>
    <row r="39" spans="1:7" x14ac:dyDescent="0.25">
      <c r="A39" s="7">
        <v>600</v>
      </c>
      <c r="B39" s="7">
        <v>44118</v>
      </c>
      <c r="C39" s="7" t="s">
        <v>295</v>
      </c>
      <c r="D39" s="11" t="s">
        <v>38</v>
      </c>
      <c r="E39" s="25">
        <f>+Tocino!G49</f>
        <v>0</v>
      </c>
      <c r="F39" s="7"/>
      <c r="G39" s="7"/>
    </row>
    <row r="40" spans="1:7" x14ac:dyDescent="0.25">
      <c r="A40" s="7">
        <v>400</v>
      </c>
      <c r="B40" s="7">
        <v>20087</v>
      </c>
      <c r="C40" s="7" t="s">
        <v>63</v>
      </c>
      <c r="D40" s="11" t="s">
        <v>38</v>
      </c>
      <c r="E40" s="25">
        <f>+Megablon!G7+Cuñapé!G5</f>
        <v>99</v>
      </c>
      <c r="F40" s="7"/>
      <c r="G40" s="7"/>
    </row>
    <row r="41" spans="1:7" x14ac:dyDescent="0.25">
      <c r="A41" s="7">
        <v>200</v>
      </c>
      <c r="B41" s="7">
        <v>5001</v>
      </c>
      <c r="C41" s="7" t="s">
        <v>312</v>
      </c>
      <c r="D41" s="11" t="s">
        <v>38</v>
      </c>
      <c r="E41" s="25">
        <f>+Nacho!G8+Nacho!G17+Nacho!G25+Nacho!G31+Nacho!G38+Nacho!G46</f>
        <v>0</v>
      </c>
      <c r="F41" s="7"/>
      <c r="G41" s="7"/>
    </row>
    <row r="42" spans="1:7" x14ac:dyDescent="0.25">
      <c r="A42" s="7">
        <v>400</v>
      </c>
      <c r="B42" s="7">
        <v>20025</v>
      </c>
      <c r="C42" s="7" t="s">
        <v>149</v>
      </c>
      <c r="D42" s="11" t="s">
        <v>38</v>
      </c>
      <c r="E42" s="25">
        <f>+Choconax!G6</f>
        <v>0</v>
      </c>
      <c r="F42" s="7"/>
      <c r="G42" s="7"/>
    </row>
    <row r="43" spans="1:7" x14ac:dyDescent="0.25">
      <c r="A43" s="7">
        <v>400</v>
      </c>
      <c r="B43" s="7">
        <v>20028</v>
      </c>
      <c r="C43" s="7" t="s">
        <v>95</v>
      </c>
      <c r="D43" s="11" t="s">
        <v>38</v>
      </c>
      <c r="E43" s="25">
        <f>+Escuelin!G8</f>
        <v>0</v>
      </c>
      <c r="F43" s="7"/>
      <c r="G43" s="7"/>
    </row>
    <row r="44" spans="1:7" x14ac:dyDescent="0.25">
      <c r="A44" s="7">
        <v>400</v>
      </c>
      <c r="B44" s="7">
        <v>51000</v>
      </c>
      <c r="C44" s="7" t="s">
        <v>163</v>
      </c>
      <c r="D44" s="11" t="s">
        <v>38</v>
      </c>
      <c r="E44" s="25">
        <f>+Escuelin_Des!G6</f>
        <v>0</v>
      </c>
      <c r="F44" s="7"/>
      <c r="G44" s="7"/>
    </row>
    <row r="45" spans="1:7" x14ac:dyDescent="0.25">
      <c r="A45" s="7">
        <v>400</v>
      </c>
      <c r="B45" s="7">
        <v>5001</v>
      </c>
      <c r="C45" s="7" t="s">
        <v>314</v>
      </c>
      <c r="D45" s="11" t="s">
        <v>38</v>
      </c>
      <c r="E45" s="25">
        <f>+Navideña!G11</f>
        <v>0</v>
      </c>
      <c r="F45" s="7"/>
      <c r="G45" s="7"/>
    </row>
    <row r="46" spans="1:7" x14ac:dyDescent="0.25">
      <c r="A46" s="7">
        <v>500</v>
      </c>
      <c r="B46" s="7">
        <v>5001</v>
      </c>
      <c r="C46" s="7" t="s">
        <v>313</v>
      </c>
      <c r="D46" s="11" t="s">
        <v>38</v>
      </c>
      <c r="E46" s="25">
        <f>+Tocino!G26</f>
        <v>0</v>
      </c>
      <c r="F46" s="7"/>
      <c r="G46" s="7"/>
    </row>
    <row r="47" spans="1:7" x14ac:dyDescent="0.25">
      <c r="A47" s="7">
        <v>300</v>
      </c>
      <c r="B47" s="7">
        <v>20096</v>
      </c>
      <c r="C47" s="7" t="s">
        <v>282</v>
      </c>
      <c r="D47" s="11" t="s">
        <v>38</v>
      </c>
      <c r="E47" s="25">
        <f>+Papa!G8+Papa!G18+Papa!G27+Papa!G34+Papa!G42+Papa!G50+Tocino!G50</f>
        <v>0</v>
      </c>
      <c r="F47" s="7"/>
      <c r="G47" s="7"/>
    </row>
    <row r="48" spans="1:7" x14ac:dyDescent="0.25">
      <c r="A48" s="7">
        <v>600</v>
      </c>
      <c r="B48" s="7">
        <v>20074</v>
      </c>
      <c r="C48" s="7" t="s">
        <v>35</v>
      </c>
      <c r="D48" s="11" t="s">
        <v>119</v>
      </c>
      <c r="E48" s="25">
        <f>+Pipa!G8+Nacho!G20+Papa!G11+Papa!G21+Nacho!G26+Megablon!G10+Escuelin!G12+Cuñapé!G6+Nacho!G48+Papa!G28+Papa!G35+Papa!G44+Papa!G51+Tocino!G38</f>
        <v>0.59399999999999997</v>
      </c>
      <c r="F48" s="7"/>
      <c r="G48" s="7"/>
    </row>
    <row r="49" spans="1:7" x14ac:dyDescent="0.25">
      <c r="A49" s="7">
        <v>200</v>
      </c>
      <c r="B49" s="7">
        <v>20095</v>
      </c>
      <c r="C49" s="7" t="s">
        <v>34</v>
      </c>
      <c r="D49" s="11" t="s">
        <v>119</v>
      </c>
      <c r="E49" s="25">
        <f>+Nacho!G10+Nacho!G19+Papa!G10+Papa!G20+Tocino!G10+Nacho!G47+Papa!G43+Tocino!G24+Tocino!G37</f>
        <v>0</v>
      </c>
      <c r="F49" s="7"/>
      <c r="G49" s="7"/>
    </row>
    <row r="50" spans="1:7" x14ac:dyDescent="0.25">
      <c r="A50" s="7">
        <v>200</v>
      </c>
      <c r="B50" s="7">
        <v>20093</v>
      </c>
      <c r="C50" s="7" t="s">
        <v>304</v>
      </c>
      <c r="D50" s="11" t="s">
        <v>38</v>
      </c>
      <c r="E50" s="25">
        <f>+Nacho!G7+Nacho!G16+Nacho!G45</f>
        <v>0</v>
      </c>
      <c r="F50" s="7"/>
      <c r="G50" s="7"/>
    </row>
    <row r="51" spans="1:7" x14ac:dyDescent="0.25">
      <c r="A51" s="7">
        <v>300</v>
      </c>
      <c r="B51" s="7">
        <v>20093</v>
      </c>
      <c r="C51" s="7" t="s">
        <v>305</v>
      </c>
      <c r="D51" s="11" t="s">
        <v>38</v>
      </c>
      <c r="E51" s="25">
        <f>+Papa!G7+Papa!G17+Papa!G41</f>
        <v>0</v>
      </c>
      <c r="F51" s="7"/>
      <c r="G51" s="7"/>
    </row>
    <row r="52" spans="1:7" x14ac:dyDescent="0.25">
      <c r="A52" s="7">
        <v>500</v>
      </c>
      <c r="B52" s="7">
        <v>20093</v>
      </c>
      <c r="C52" s="7" t="s">
        <v>306</v>
      </c>
      <c r="D52" s="11" t="s">
        <v>38</v>
      </c>
      <c r="E52" s="25">
        <f>+Tocino!G7+Tocino!G22+Tocino!G35</f>
        <v>0</v>
      </c>
      <c r="F52" s="7"/>
      <c r="G52" s="7"/>
    </row>
    <row r="53" spans="1:7" x14ac:dyDescent="0.25">
      <c r="A53" s="7">
        <v>200</v>
      </c>
      <c r="B53" s="7">
        <v>12009</v>
      </c>
      <c r="C53" s="7" t="s">
        <v>315</v>
      </c>
      <c r="D53" s="11" t="s">
        <v>6</v>
      </c>
      <c r="E53" s="25">
        <f>+Nacho!G51</f>
        <v>0</v>
      </c>
      <c r="F53" s="7"/>
      <c r="G53" s="7"/>
    </row>
    <row r="54" spans="1:7" x14ac:dyDescent="0.25">
      <c r="A54" s="7">
        <v>300</v>
      </c>
      <c r="B54" s="7">
        <v>12009</v>
      </c>
      <c r="C54" s="7" t="s">
        <v>316</v>
      </c>
      <c r="D54" s="11" t="s">
        <v>6</v>
      </c>
      <c r="E54" s="25">
        <f>+Papa!G55</f>
        <v>0</v>
      </c>
      <c r="F54" s="7"/>
      <c r="G54" s="7"/>
    </row>
    <row r="55" spans="1:7" x14ac:dyDescent="0.25">
      <c r="A55" s="7">
        <v>400</v>
      </c>
      <c r="B55" s="7">
        <v>12009</v>
      </c>
      <c r="C55" s="7" t="s">
        <v>317</v>
      </c>
      <c r="D55" s="11" t="s">
        <v>6</v>
      </c>
      <c r="E55" s="25">
        <f>+Cuñapé!G12</f>
        <v>0</v>
      </c>
      <c r="F55" s="7"/>
      <c r="G55" s="7"/>
    </row>
    <row r="56" spans="1:7" x14ac:dyDescent="0.25">
      <c r="A56" s="7">
        <v>500</v>
      </c>
      <c r="B56" s="7">
        <v>12009</v>
      </c>
      <c r="C56" s="7" t="s">
        <v>318</v>
      </c>
      <c r="D56" s="11" t="s">
        <v>6</v>
      </c>
      <c r="E56" s="25">
        <f>+Tocino!G6+Tocino!G21+Tocino!G21</f>
        <v>0</v>
      </c>
      <c r="F56" s="7"/>
      <c r="G56" s="7"/>
    </row>
    <row r="57" spans="1:7" x14ac:dyDescent="0.25">
      <c r="A57" s="7">
        <v>200</v>
      </c>
      <c r="B57" s="7">
        <v>13007</v>
      </c>
      <c r="C57" s="7" t="s">
        <v>319</v>
      </c>
      <c r="D57" s="11" t="s">
        <v>6</v>
      </c>
      <c r="E57" s="25">
        <f>+Nacho!G63</f>
        <v>0</v>
      </c>
      <c r="F57" s="7"/>
      <c r="G57" s="7"/>
    </row>
    <row r="58" spans="1:7" x14ac:dyDescent="0.25">
      <c r="A58" s="7">
        <v>300</v>
      </c>
      <c r="B58" s="7">
        <v>13007</v>
      </c>
      <c r="C58" s="7" t="s">
        <v>320</v>
      </c>
      <c r="D58" s="11" t="s">
        <v>6</v>
      </c>
      <c r="E58" s="25">
        <f>+Papa!G61+Papa!G74</f>
        <v>0</v>
      </c>
      <c r="F58" s="7"/>
      <c r="G58" s="7"/>
    </row>
    <row r="59" spans="1:7" x14ac:dyDescent="0.25">
      <c r="A59" s="7">
        <v>400</v>
      </c>
      <c r="B59" s="7">
        <v>13008</v>
      </c>
      <c r="C59" s="7" t="s">
        <v>69</v>
      </c>
      <c r="D59" s="11" t="s">
        <v>6</v>
      </c>
      <c r="E59" s="25">
        <f>+Megablon!G14+Megablon!G27+Escuelin!G17+Escuelin!G30+Escuelin!G42+Escuelin!G56+Megablon!G39+Cuñapé!G13+Choconax!G12+Choconax!G25+Choconax!G37+Escuelin_Des!G13+Escuelin_Des!G14+Escuelin_Des!G30+Mantequilla!D3+Jengibre!D3+Navideña!K17+Navideña!K21+Escuelin_Des!G43+Tocino!G43</f>
        <v>0</v>
      </c>
      <c r="F59" s="7"/>
      <c r="G59" s="7"/>
    </row>
    <row r="60" spans="1:7" x14ac:dyDescent="0.25">
      <c r="A60" s="7">
        <v>400</v>
      </c>
      <c r="B60" s="7">
        <v>13001</v>
      </c>
      <c r="C60" s="7" t="s">
        <v>84</v>
      </c>
      <c r="D60" s="11" t="s">
        <v>6</v>
      </c>
      <c r="E60" s="25">
        <f>+Escuelin_Des!G20+Megablon!G15+Mantequilla!D10+Jengibre!D11+Navideña!K24</f>
        <v>0</v>
      </c>
      <c r="F60" s="7"/>
      <c r="G60" s="7"/>
    </row>
    <row r="61" spans="1:7" x14ac:dyDescent="0.25">
      <c r="A61" s="7">
        <v>400</v>
      </c>
      <c r="B61" s="7">
        <v>13009</v>
      </c>
      <c r="C61" s="7" t="s">
        <v>89</v>
      </c>
      <c r="D61" s="11" t="s">
        <v>6</v>
      </c>
      <c r="E61" s="25">
        <f>+Megablon!G28+Escuelin!G31+Choconax!G26+Escuelin_Des!G31+Navideña!K33</f>
        <v>0</v>
      </c>
      <c r="F61" s="7"/>
      <c r="G61" s="7"/>
    </row>
    <row r="62" spans="1:7" x14ac:dyDescent="0.25">
      <c r="A62" s="7">
        <v>200</v>
      </c>
      <c r="B62" s="7">
        <v>13016</v>
      </c>
      <c r="C62" s="7" t="s">
        <v>42</v>
      </c>
      <c r="D62" s="11" t="s">
        <v>6</v>
      </c>
      <c r="E62" s="25">
        <f>+Nacho!G53</f>
        <v>0</v>
      </c>
      <c r="F62" s="7"/>
      <c r="G62" s="7"/>
    </row>
    <row r="63" spans="1:7" x14ac:dyDescent="0.25">
      <c r="A63" s="7">
        <v>400</v>
      </c>
      <c r="B63" s="7">
        <v>13013</v>
      </c>
      <c r="C63" s="7" t="s">
        <v>215</v>
      </c>
      <c r="D63" s="11" t="s">
        <v>6</v>
      </c>
      <c r="E63" s="25">
        <f>+Navideña!J29</f>
        <v>0</v>
      </c>
      <c r="F63" s="7"/>
      <c r="G63" s="7"/>
    </row>
    <row r="64" spans="1:7" x14ac:dyDescent="0.25">
      <c r="A64" s="7">
        <v>400</v>
      </c>
      <c r="B64" s="7">
        <v>13017</v>
      </c>
      <c r="C64" s="7" t="s">
        <v>160</v>
      </c>
      <c r="D64" s="11" t="s">
        <v>6</v>
      </c>
      <c r="E64" s="25">
        <v>0</v>
      </c>
      <c r="F64" s="7"/>
      <c r="G64" s="7"/>
    </row>
    <row r="65" spans="1:7" x14ac:dyDescent="0.25">
      <c r="A65" s="7">
        <v>400</v>
      </c>
      <c r="B65" s="7">
        <v>13095</v>
      </c>
      <c r="C65" s="7" t="s">
        <v>161</v>
      </c>
      <c r="D65" s="11" t="s">
        <v>6</v>
      </c>
      <c r="E65" s="25">
        <f>+Escuelin!G47</f>
        <v>0</v>
      </c>
      <c r="F65" s="7"/>
      <c r="G65" s="7"/>
    </row>
    <row r="66" spans="1:7" x14ac:dyDescent="0.25">
      <c r="A66" s="7">
        <v>400</v>
      </c>
      <c r="B66" s="7">
        <v>14006</v>
      </c>
      <c r="C66" s="7" t="s">
        <v>106</v>
      </c>
      <c r="D66" s="11" t="s">
        <v>6</v>
      </c>
      <c r="E66" s="25">
        <f>+Escuelin!G23+Choconax!G18+Escuelin_Des!G22+Megablon!G23+Navideña!J32</f>
        <v>0</v>
      </c>
      <c r="F66" s="7"/>
      <c r="G66" s="7"/>
    </row>
    <row r="67" spans="1:7" x14ac:dyDescent="0.25">
      <c r="A67" s="7">
        <v>400</v>
      </c>
      <c r="B67" s="7">
        <v>14007</v>
      </c>
      <c r="C67" s="7" t="s">
        <v>123</v>
      </c>
      <c r="D67" s="11" t="s">
        <v>6</v>
      </c>
      <c r="E67" s="25">
        <f>+Megablon!G42</f>
        <v>0</v>
      </c>
      <c r="F67" s="7"/>
      <c r="G67" s="7"/>
    </row>
    <row r="68" spans="1:7" x14ac:dyDescent="0.25">
      <c r="A68" s="7">
        <v>400</v>
      </c>
      <c r="B68" s="7">
        <v>13015</v>
      </c>
      <c r="C68" s="7" t="s">
        <v>110</v>
      </c>
      <c r="D68" s="11" t="s">
        <v>6</v>
      </c>
      <c r="E68" s="25">
        <f>+Escuelin!G49</f>
        <v>0</v>
      </c>
      <c r="F68" s="7"/>
      <c r="G68" s="7"/>
    </row>
    <row r="69" spans="1:7" x14ac:dyDescent="0.25">
      <c r="A69" s="7">
        <v>400</v>
      </c>
      <c r="B69" s="7">
        <v>12008</v>
      </c>
      <c r="C69" s="7" t="s">
        <v>113</v>
      </c>
      <c r="D69" s="11" t="s">
        <v>6</v>
      </c>
      <c r="E69" s="25">
        <f>+Escuelin!G54+Choconax!G35+Escuelin_Des!G41</f>
        <v>0</v>
      </c>
      <c r="F69" s="7"/>
      <c r="G69" s="7"/>
    </row>
    <row r="70" spans="1:7" x14ac:dyDescent="0.25">
      <c r="A70" s="7">
        <v>400</v>
      </c>
      <c r="B70" s="7">
        <v>14027</v>
      </c>
      <c r="C70" s="7" t="s">
        <v>85</v>
      </c>
      <c r="D70" s="11" t="s">
        <v>6</v>
      </c>
      <c r="E70" s="25">
        <f>+Megablon!G29+Escuelin!G32+Choconax!G27+Escuelin!G48+Escuelin_Des!G32+Navideña!J30</f>
        <v>0</v>
      </c>
      <c r="F70" s="7"/>
      <c r="G70" s="7"/>
    </row>
    <row r="71" spans="1:7" x14ac:dyDescent="0.25">
      <c r="A71" s="7">
        <v>400</v>
      </c>
      <c r="B71" s="7">
        <v>14018</v>
      </c>
      <c r="C71" s="7" t="s">
        <v>184</v>
      </c>
      <c r="D71" s="11" t="s">
        <v>6</v>
      </c>
      <c r="E71" s="25">
        <f>+Jengibre!D9+Navideña!J27</f>
        <v>0</v>
      </c>
      <c r="F71" s="7"/>
      <c r="G71" s="7"/>
    </row>
    <row r="72" spans="1:7" x14ac:dyDescent="0.25">
      <c r="A72" s="7">
        <v>400</v>
      </c>
      <c r="B72" s="7">
        <v>14011</v>
      </c>
      <c r="C72" s="7" t="s">
        <v>214</v>
      </c>
      <c r="D72" s="11" t="s">
        <v>6</v>
      </c>
      <c r="E72" s="25">
        <f>+Navideña!J28</f>
        <v>0</v>
      </c>
      <c r="F72" s="7"/>
      <c r="G72" s="7"/>
    </row>
    <row r="73" spans="1:7" x14ac:dyDescent="0.25">
      <c r="A73" s="7">
        <v>400</v>
      </c>
      <c r="B73" s="7">
        <v>14016</v>
      </c>
      <c r="C73" s="7" t="s">
        <v>114</v>
      </c>
      <c r="D73" s="11" t="s">
        <v>6</v>
      </c>
      <c r="E73" s="25">
        <f>+Escuelin!G59+Choconax!G40+Escuelin_Des!G47</f>
        <v>0</v>
      </c>
      <c r="F73" s="7"/>
      <c r="G73" s="7"/>
    </row>
    <row r="74" spans="1:7" x14ac:dyDescent="0.25">
      <c r="A74" s="7">
        <v>400</v>
      </c>
      <c r="B74" s="7">
        <v>4000</v>
      </c>
      <c r="C74" s="7" t="s">
        <v>175</v>
      </c>
      <c r="D74" s="11" t="s">
        <v>6</v>
      </c>
      <c r="E74" s="25">
        <f>+Mantequilla!D8+Navideña!J22</f>
        <v>0</v>
      </c>
      <c r="F74" s="7"/>
      <c r="G74" s="7"/>
    </row>
    <row r="75" spans="1:7" x14ac:dyDescent="0.25">
      <c r="A75" s="7">
        <v>400</v>
      </c>
      <c r="B75" s="7">
        <v>14017</v>
      </c>
      <c r="C75" s="7" t="s">
        <v>120</v>
      </c>
      <c r="D75" s="11" t="s">
        <v>6</v>
      </c>
      <c r="E75" s="25">
        <f>+Escuelin!G26+Choconax!G21+Escuelin_Des!G25</f>
        <v>0</v>
      </c>
      <c r="F75" s="7"/>
      <c r="G75" s="7"/>
    </row>
    <row r="76" spans="1:7" x14ac:dyDescent="0.25">
      <c r="A76" s="7">
        <v>400</v>
      </c>
      <c r="B76" s="7">
        <v>14010</v>
      </c>
      <c r="C76" s="7" t="s">
        <v>86</v>
      </c>
      <c r="D76" s="11" t="s">
        <v>6</v>
      </c>
      <c r="E76" s="25">
        <f>+Megablon!G16+Megablon!G30+Escuelin!G27+Escuelin!G33+Escuelin!G58+Megablon!G41+Choconax!G22+Choconax!G28+Choconax!G39+Escuelin_Des!G25+Escuelin_Des!G33+Navideña!J31+Escuelin_Des!G47</f>
        <v>0</v>
      </c>
      <c r="F76" s="7"/>
      <c r="G76" s="7"/>
    </row>
    <row r="77" spans="1:7" x14ac:dyDescent="0.25">
      <c r="A77" s="7">
        <v>400</v>
      </c>
      <c r="B77" s="7">
        <v>11005</v>
      </c>
      <c r="C77" s="7" t="s">
        <v>116</v>
      </c>
      <c r="D77" s="11" t="s">
        <v>6</v>
      </c>
      <c r="E77" s="25">
        <f>+Escuelin!G19+Choconax!G14+Escuelin_Des!G16</f>
        <v>0</v>
      </c>
      <c r="F77" s="7"/>
      <c r="G77" s="7"/>
    </row>
    <row r="78" spans="1:7" x14ac:dyDescent="0.25">
      <c r="A78" s="7">
        <v>400</v>
      </c>
      <c r="B78" s="7">
        <v>11006</v>
      </c>
      <c r="C78" s="7" t="s">
        <v>87</v>
      </c>
      <c r="D78" s="11" t="s">
        <v>6</v>
      </c>
      <c r="E78" s="25">
        <f>+Megablon!G17+Cuñapé!G9</f>
        <v>0</v>
      </c>
      <c r="F78" s="7"/>
      <c r="G78" s="7"/>
    </row>
    <row r="79" spans="1:7" x14ac:dyDescent="0.25">
      <c r="A79" s="7">
        <v>400</v>
      </c>
      <c r="B79" s="7">
        <v>14030</v>
      </c>
      <c r="C79" s="7" t="s">
        <v>152</v>
      </c>
      <c r="D79" s="11" t="s">
        <v>6</v>
      </c>
      <c r="E79" s="25">
        <f>+Escuelin!G60+Choconax!C41+Escuelin_Des!G18+Escuelin_Des!G45</f>
        <v>6</v>
      </c>
      <c r="F79" s="7"/>
      <c r="G79" s="7"/>
    </row>
    <row r="80" spans="1:7" x14ac:dyDescent="0.25">
      <c r="A80" s="7">
        <v>200</v>
      </c>
      <c r="B80" s="7">
        <v>13010</v>
      </c>
      <c r="C80" s="7" t="s">
        <v>321</v>
      </c>
      <c r="D80" s="11" t="s">
        <v>6</v>
      </c>
      <c r="E80" s="25">
        <f>+Nacho!G56+Nacho!G61+Nacho!G71</f>
        <v>0</v>
      </c>
      <c r="F80" s="7"/>
      <c r="G80" s="7"/>
    </row>
    <row r="81" spans="1:7" x14ac:dyDescent="0.25">
      <c r="A81" s="7">
        <v>300</v>
      </c>
      <c r="B81" s="7">
        <v>13010</v>
      </c>
      <c r="C81" s="7" t="s">
        <v>322</v>
      </c>
      <c r="D81" s="11" t="s">
        <v>6</v>
      </c>
      <c r="E81" s="25">
        <f>+Papa!G59+Papa!G72</f>
        <v>0</v>
      </c>
      <c r="F81" s="7"/>
      <c r="G81" s="7"/>
    </row>
    <row r="82" spans="1:7" x14ac:dyDescent="0.25">
      <c r="A82" s="7">
        <v>400</v>
      </c>
      <c r="B82" s="7">
        <v>14025</v>
      </c>
      <c r="C82" s="7" t="s">
        <v>22</v>
      </c>
      <c r="D82" s="11" t="s">
        <v>6</v>
      </c>
      <c r="E82" s="25">
        <f>+Pipa!G21+Megablon!G18+Megablon!G43+Escuelin!G61+Escuelin_Des!G46</f>
        <v>0</v>
      </c>
      <c r="F82" s="7"/>
      <c r="G82" s="7"/>
    </row>
    <row r="83" spans="1:7" x14ac:dyDescent="0.25">
      <c r="A83" s="7">
        <v>500</v>
      </c>
      <c r="B83" s="7">
        <v>44043</v>
      </c>
      <c r="C83" s="7" t="s">
        <v>257</v>
      </c>
      <c r="D83" s="11" t="s">
        <v>6</v>
      </c>
      <c r="E83" s="25">
        <f>+Tocino!G29</f>
        <v>0</v>
      </c>
      <c r="F83" s="7"/>
      <c r="G83" s="7"/>
    </row>
    <row r="84" spans="1:7" x14ac:dyDescent="0.25">
      <c r="A84" s="7">
        <v>500</v>
      </c>
      <c r="B84" s="7">
        <v>11002</v>
      </c>
      <c r="C84" s="7" t="s">
        <v>255</v>
      </c>
      <c r="D84" s="11" t="s">
        <v>6</v>
      </c>
      <c r="E84" s="25">
        <f>+Tocino!G42</f>
        <v>0</v>
      </c>
      <c r="F84" s="7"/>
      <c r="G84" s="7"/>
    </row>
    <row r="85" spans="1:7" x14ac:dyDescent="0.25">
      <c r="A85" s="7">
        <v>400</v>
      </c>
      <c r="B85" s="7">
        <v>11001</v>
      </c>
      <c r="C85" s="7" t="s">
        <v>303</v>
      </c>
      <c r="D85" s="11" t="s">
        <v>6</v>
      </c>
      <c r="E85" s="25">
        <f>+Megablon!G19+Escuelin!G16+Choconax!G11+Escuelin_Des!G12+Mantequilla!D2+Jengibre!D2+Navideña!J16</f>
        <v>0</v>
      </c>
      <c r="F85" s="7"/>
      <c r="G85" s="7"/>
    </row>
    <row r="86" spans="1:7" x14ac:dyDescent="0.25">
      <c r="A86" s="7">
        <v>400</v>
      </c>
      <c r="B86" s="7">
        <v>13029</v>
      </c>
      <c r="C86" s="7" t="s">
        <v>196</v>
      </c>
      <c r="D86" s="11" t="s">
        <v>38</v>
      </c>
      <c r="E86" s="25">
        <f>+Escuelin!G22+Choconax!G17+Escuelin_Des!G21</f>
        <v>0</v>
      </c>
      <c r="F86" s="7"/>
      <c r="G86" s="7"/>
    </row>
    <row r="87" spans="1:7" x14ac:dyDescent="0.25">
      <c r="A87" s="7">
        <v>400</v>
      </c>
      <c r="B87" s="7">
        <v>13022</v>
      </c>
      <c r="C87" s="7" t="s">
        <v>179</v>
      </c>
      <c r="D87" s="11" t="s">
        <v>6</v>
      </c>
      <c r="E87" s="25">
        <f>+Jengibre!D4+Navideña!J26</f>
        <v>0</v>
      </c>
      <c r="F87" s="7"/>
      <c r="G87" s="7"/>
    </row>
    <row r="88" spans="1:7" x14ac:dyDescent="0.25">
      <c r="A88" s="7">
        <v>100</v>
      </c>
      <c r="B88" s="7">
        <v>11001</v>
      </c>
      <c r="C88" s="7" t="s">
        <v>302</v>
      </c>
      <c r="D88" s="11" t="s">
        <v>6</v>
      </c>
      <c r="E88" s="25">
        <f>+Pipa!G18</f>
        <v>0</v>
      </c>
      <c r="F88" s="7"/>
      <c r="G88" s="7"/>
    </row>
    <row r="89" spans="1:7" x14ac:dyDescent="0.25">
      <c r="A89" s="7">
        <v>400</v>
      </c>
      <c r="B89" s="7">
        <v>13003</v>
      </c>
      <c r="C89" s="7" t="s">
        <v>117</v>
      </c>
      <c r="D89" s="11" t="s">
        <v>6</v>
      </c>
      <c r="E89" s="25">
        <f>+Escuelin!G43+Cuñapé!G11+Megablon!G32+Escuelin!G35+Escuelin_Des!G35</f>
        <v>0</v>
      </c>
      <c r="F89" s="7"/>
      <c r="G89" s="7"/>
    </row>
    <row r="90" spans="1:7" x14ac:dyDescent="0.25">
      <c r="A90" s="7">
        <v>400</v>
      </c>
      <c r="B90" s="7">
        <v>14020</v>
      </c>
      <c r="C90" s="7" t="s">
        <v>74</v>
      </c>
      <c r="D90" s="11" t="s">
        <v>6</v>
      </c>
      <c r="E90" s="25">
        <f>+Megablon!G20+Megablon!G33+Escuelin!G20+Escuelin!G36+Escuelin!G45+Escuelin!G57+Cuñapé!G16+Choconax!G15+Choconax!G30+Choconax!G38+Escuelin_Des!G36+Escuelin_Des!G17+Mantequilla!D5+Jengibre!D6+Navideña!J20+Escuelin_Des!G44</f>
        <v>0</v>
      </c>
      <c r="F90" s="7"/>
      <c r="G90" s="7"/>
    </row>
    <row r="91" spans="1:7" x14ac:dyDescent="0.25">
      <c r="A91" s="7">
        <v>200</v>
      </c>
      <c r="B91" s="7">
        <v>15011</v>
      </c>
      <c r="C91" s="7" t="s">
        <v>39</v>
      </c>
      <c r="D91" s="11" t="s">
        <v>6</v>
      </c>
      <c r="E91" s="25">
        <f>+Nacho!G50</f>
        <v>0</v>
      </c>
      <c r="F91" s="7"/>
      <c r="G91" s="7"/>
    </row>
    <row r="92" spans="1:7" x14ac:dyDescent="0.25">
      <c r="A92" s="7">
        <v>100</v>
      </c>
      <c r="B92" s="7">
        <v>13006</v>
      </c>
      <c r="C92" s="7" t="s">
        <v>19</v>
      </c>
      <c r="D92" s="11" t="s">
        <v>6</v>
      </c>
      <c r="E92" s="25">
        <f>+Pipa!G19+Nacho!G58+Nacho!G67+Papa!G65+Nacho!G72+Papa!G73</f>
        <v>0</v>
      </c>
      <c r="F92" s="7"/>
      <c r="G92" s="7"/>
    </row>
    <row r="93" spans="1:7" x14ac:dyDescent="0.25">
      <c r="A93" s="7">
        <v>400</v>
      </c>
      <c r="B93" s="7">
        <v>12007</v>
      </c>
      <c r="C93" s="7" t="s">
        <v>91</v>
      </c>
      <c r="D93" s="11" t="s">
        <v>6</v>
      </c>
      <c r="E93" s="25">
        <f>+Megablon!G35+Escuelin!G37+Escuelin_Des!G37</f>
        <v>0</v>
      </c>
      <c r="F93" s="7"/>
      <c r="G93" s="7"/>
    </row>
    <row r="94" spans="1:7" x14ac:dyDescent="0.25">
      <c r="A94" s="7">
        <v>400</v>
      </c>
      <c r="B94" s="7">
        <v>12002</v>
      </c>
      <c r="C94" s="7" t="s">
        <v>155</v>
      </c>
      <c r="D94" s="11" t="s">
        <v>6</v>
      </c>
      <c r="E94" s="25">
        <v>0</v>
      </c>
      <c r="F94" s="7"/>
      <c r="G94" s="7"/>
    </row>
    <row r="95" spans="1:7" x14ac:dyDescent="0.25">
      <c r="A95" s="7">
        <v>400</v>
      </c>
      <c r="B95" s="7">
        <v>12004</v>
      </c>
      <c r="C95" s="7" t="s">
        <v>142</v>
      </c>
      <c r="D95" s="11" t="s">
        <v>6</v>
      </c>
      <c r="E95" s="25">
        <f>+Megablon!G40+Escuelin!G55+Choconax!G36+Escuelin_Des!G42</f>
        <v>0</v>
      </c>
      <c r="F95" s="7"/>
      <c r="G95" s="7"/>
    </row>
    <row r="96" spans="1:7" x14ac:dyDescent="0.25">
      <c r="A96" s="7">
        <v>400</v>
      </c>
      <c r="B96" s="7">
        <v>12003</v>
      </c>
      <c r="C96" s="7" t="s">
        <v>88</v>
      </c>
      <c r="D96" s="11" t="s">
        <v>6</v>
      </c>
      <c r="E96" s="25">
        <f>+Megablon!G21+Escuelin!G18+Choconax!G13+Escuelin_Des!G15+Navideña!J19</f>
        <v>0</v>
      </c>
      <c r="F96" s="7"/>
      <c r="G96" s="7"/>
    </row>
    <row r="97" spans="1:7" x14ac:dyDescent="0.25">
      <c r="A97" s="7">
        <v>400</v>
      </c>
      <c r="B97" s="7">
        <v>12005</v>
      </c>
      <c r="C97" s="7" t="s">
        <v>172</v>
      </c>
      <c r="D97" s="11" t="s">
        <v>6</v>
      </c>
      <c r="E97" s="25">
        <f>+Mantequilla!D4+Jengibre!D5+Navideña!J18</f>
        <v>0</v>
      </c>
      <c r="F97" s="7"/>
      <c r="G97" s="7"/>
    </row>
    <row r="98" spans="1:7" x14ac:dyDescent="0.25">
      <c r="A98" s="7">
        <v>500</v>
      </c>
      <c r="B98" s="7">
        <v>16008</v>
      </c>
      <c r="C98" s="7" t="s">
        <v>247</v>
      </c>
      <c r="D98" s="11" t="s">
        <v>6</v>
      </c>
      <c r="E98" s="25">
        <f>+Tocino!G15</f>
        <v>0</v>
      </c>
      <c r="F98" s="7"/>
      <c r="G98" s="7"/>
    </row>
    <row r="99" spans="1:7" x14ac:dyDescent="0.25">
      <c r="A99" s="7">
        <v>400</v>
      </c>
      <c r="B99" s="7">
        <v>6032</v>
      </c>
      <c r="C99" s="7" t="s">
        <v>150</v>
      </c>
      <c r="D99" s="11" t="s">
        <v>6</v>
      </c>
      <c r="E99" s="25">
        <f>+Mantequilla!D7+Jengibre!D8</f>
        <v>0</v>
      </c>
      <c r="F99" s="7"/>
      <c r="G99" s="7"/>
    </row>
    <row r="100" spans="1:7" x14ac:dyDescent="0.25">
      <c r="A100" s="7">
        <v>300</v>
      </c>
      <c r="B100" s="7">
        <v>15001</v>
      </c>
      <c r="C100" s="7" t="s">
        <v>51</v>
      </c>
      <c r="D100" s="11" t="s">
        <v>6</v>
      </c>
      <c r="E100" s="25">
        <f>+Papa!G54</f>
        <v>0</v>
      </c>
      <c r="F100" s="7"/>
      <c r="G100" s="7"/>
    </row>
    <row r="101" spans="1:7" x14ac:dyDescent="0.25">
      <c r="A101" s="7">
        <v>300</v>
      </c>
      <c r="B101" s="7">
        <v>14037</v>
      </c>
      <c r="C101" s="7" t="s">
        <v>211</v>
      </c>
      <c r="D101" s="11" t="s">
        <v>6</v>
      </c>
      <c r="E101" s="25">
        <f>+Papa!G71</f>
        <v>0</v>
      </c>
      <c r="F101" s="7"/>
      <c r="G101" s="7"/>
    </row>
    <row r="102" spans="1:7" x14ac:dyDescent="0.25">
      <c r="A102" s="7">
        <v>400</v>
      </c>
      <c r="B102" s="7">
        <v>30038</v>
      </c>
      <c r="C102" s="7" t="s">
        <v>75</v>
      </c>
      <c r="D102" s="11" t="s">
        <v>6</v>
      </c>
      <c r="E102" s="25">
        <f>+Megablon!G22+Cuñapé!G14+Escuelin!G21+Mantequilla!D9+Jengibre!D10+Navideña!J23</f>
        <v>0</v>
      </c>
      <c r="F102" s="7"/>
      <c r="G102" s="7"/>
    </row>
    <row r="103" spans="1:7" x14ac:dyDescent="0.25">
      <c r="A103" s="7">
        <v>400</v>
      </c>
      <c r="B103" s="7">
        <v>14028</v>
      </c>
      <c r="C103" s="7" t="s">
        <v>82</v>
      </c>
      <c r="D103" s="11" t="s">
        <v>6</v>
      </c>
      <c r="E103" s="25">
        <f>+Megablon!G36+Escuelin!G39+Escuelin!G50+Choconax!G32+Escuelin_Des!G38</f>
        <v>0</v>
      </c>
      <c r="F103" s="7"/>
      <c r="G103" s="7"/>
    </row>
    <row r="104" spans="1:7" x14ac:dyDescent="0.25">
      <c r="A104" s="7">
        <v>400</v>
      </c>
      <c r="B104" s="7">
        <v>13005</v>
      </c>
      <c r="C104" s="7" t="s">
        <v>111</v>
      </c>
      <c r="D104" s="11" t="s">
        <v>6</v>
      </c>
      <c r="E104" s="25">
        <f>+Escuelin!G51+Cuñapé!G17+Escuelin!G62+Choconax!G43+Escuelin_Des!G49+Escuelin!G62</f>
        <v>0</v>
      </c>
      <c r="F104" s="7"/>
      <c r="G104" s="7"/>
    </row>
    <row r="105" spans="1:7" x14ac:dyDescent="0.25">
      <c r="A105" s="7">
        <v>400</v>
      </c>
      <c r="B105" s="7">
        <v>15010</v>
      </c>
      <c r="C105" s="7" t="s">
        <v>139</v>
      </c>
      <c r="D105" s="11" t="s">
        <v>6</v>
      </c>
      <c r="E105" s="25">
        <f>+Cuñapé!G10</f>
        <v>0</v>
      </c>
      <c r="F105" s="7"/>
      <c r="G105" s="7"/>
    </row>
    <row r="106" spans="1:7" x14ac:dyDescent="0.25">
      <c r="A106" s="7">
        <v>500</v>
      </c>
      <c r="B106" s="7">
        <v>13011</v>
      </c>
      <c r="C106" s="7" t="s">
        <v>301</v>
      </c>
      <c r="D106" s="11" t="s">
        <v>6</v>
      </c>
      <c r="E106" s="25">
        <f>+Tocino!G44</f>
        <v>0</v>
      </c>
      <c r="F106" s="7"/>
      <c r="G106" s="7"/>
    </row>
    <row r="107" spans="1:7" x14ac:dyDescent="0.25">
      <c r="A107" s="7">
        <v>200</v>
      </c>
      <c r="B107" s="7">
        <v>30005</v>
      </c>
      <c r="C107" s="7" t="s">
        <v>259</v>
      </c>
      <c r="D107" s="11" t="s">
        <v>6</v>
      </c>
      <c r="E107" s="25">
        <f>+Nacho!G55</f>
        <v>0</v>
      </c>
      <c r="F107" s="7"/>
      <c r="G107" s="7"/>
    </row>
    <row r="108" spans="1:7" x14ac:dyDescent="0.25">
      <c r="A108" s="7">
        <v>400</v>
      </c>
      <c r="B108" s="7">
        <v>13011</v>
      </c>
      <c r="C108" s="7" t="s">
        <v>297</v>
      </c>
      <c r="D108" s="11" t="s">
        <v>6</v>
      </c>
      <c r="E108" s="25">
        <f>+Megablon!G24+Escuelin!G25+Escuelin!G63+Choconax!G20+Choconax!G44+Mantequilla!D11+Jengibre!D12+Navideña!J25</f>
        <v>0</v>
      </c>
      <c r="F108" s="7"/>
      <c r="G108" s="7"/>
    </row>
    <row r="109" spans="1:7" x14ac:dyDescent="0.25">
      <c r="A109" s="7">
        <v>100</v>
      </c>
      <c r="B109" s="7">
        <v>13011</v>
      </c>
      <c r="C109" s="7" t="s">
        <v>298</v>
      </c>
      <c r="D109" s="11" t="s">
        <v>6</v>
      </c>
      <c r="E109" s="25">
        <f>+Pipa!G20</f>
        <v>0</v>
      </c>
      <c r="F109" s="7"/>
      <c r="G109" s="7"/>
    </row>
    <row r="110" spans="1:7" x14ac:dyDescent="0.25">
      <c r="A110" s="7">
        <v>200</v>
      </c>
      <c r="B110" s="7">
        <v>13011</v>
      </c>
      <c r="C110" s="7" t="s">
        <v>299</v>
      </c>
      <c r="D110" s="11" t="s">
        <v>6</v>
      </c>
      <c r="E110" s="25">
        <f>+Nacho!G74+Nacho!G57+Nacho!G62</f>
        <v>0</v>
      </c>
      <c r="F110" s="7"/>
      <c r="G110" s="7"/>
    </row>
    <row r="111" spans="1:7" x14ac:dyDescent="0.25">
      <c r="A111" s="7">
        <v>300</v>
      </c>
      <c r="B111" s="7">
        <v>13011</v>
      </c>
      <c r="C111" s="7" t="s">
        <v>300</v>
      </c>
      <c r="D111" s="11" t="s">
        <v>6</v>
      </c>
      <c r="E111" s="25">
        <f>+Papa!G60+Papa!G25+Papa!G75</f>
        <v>0</v>
      </c>
      <c r="F111" s="7"/>
      <c r="G111" s="7"/>
    </row>
    <row r="112" spans="1:7" x14ac:dyDescent="0.25">
      <c r="A112" s="7">
        <v>200</v>
      </c>
      <c r="B112" s="7">
        <v>30006</v>
      </c>
      <c r="C112" s="7" t="s">
        <v>258</v>
      </c>
      <c r="D112" s="11" t="s">
        <v>6</v>
      </c>
      <c r="E112" s="25">
        <f>+Nacho!E60</f>
        <v>0</v>
      </c>
      <c r="F112" s="7"/>
      <c r="G112" s="7"/>
    </row>
    <row r="113" spans="1:7" x14ac:dyDescent="0.25">
      <c r="A113" s="7">
        <v>200</v>
      </c>
      <c r="B113" s="7">
        <v>30053</v>
      </c>
      <c r="C113" s="7" t="s">
        <v>329</v>
      </c>
      <c r="D113" s="11" t="s">
        <v>6</v>
      </c>
      <c r="E113" s="25">
        <f>+Nacho!G69</f>
        <v>0</v>
      </c>
      <c r="F113" s="7"/>
      <c r="G113" s="7"/>
    </row>
    <row r="114" spans="1:7" x14ac:dyDescent="0.25">
      <c r="A114" s="7">
        <v>500</v>
      </c>
      <c r="B114" s="7">
        <v>30053</v>
      </c>
      <c r="C114" s="7" t="s">
        <v>330</v>
      </c>
      <c r="D114" s="11" t="s">
        <v>6</v>
      </c>
      <c r="E114" s="25">
        <f>+Tocino!G25+Tocino!G45</f>
        <v>0</v>
      </c>
      <c r="F114" s="7"/>
      <c r="G114" s="7"/>
    </row>
    <row r="115" spans="1:7" x14ac:dyDescent="0.25">
      <c r="A115" s="7">
        <v>200</v>
      </c>
      <c r="B115" s="7">
        <v>14034</v>
      </c>
      <c r="C115" s="7" t="s">
        <v>323</v>
      </c>
      <c r="D115" s="11" t="s">
        <v>6</v>
      </c>
      <c r="E115" s="25">
        <f>+Nacho!G64</f>
        <v>0</v>
      </c>
      <c r="F115" s="7"/>
      <c r="G115" s="7"/>
    </row>
    <row r="116" spans="1:7" x14ac:dyDescent="0.25">
      <c r="A116" s="7">
        <v>300</v>
      </c>
      <c r="B116" s="7">
        <v>14034</v>
      </c>
      <c r="C116" s="7" t="s">
        <v>324</v>
      </c>
      <c r="D116" s="11" t="s">
        <v>6</v>
      </c>
      <c r="E116" s="25">
        <f>+Papa!G62+Papa!G69</f>
        <v>0</v>
      </c>
      <c r="F116" s="7"/>
      <c r="G116" s="7"/>
    </row>
    <row r="117" spans="1:7" x14ac:dyDescent="0.25">
      <c r="A117" s="7">
        <v>200</v>
      </c>
      <c r="B117" s="7">
        <v>14036</v>
      </c>
      <c r="C117" s="7" t="s">
        <v>325</v>
      </c>
      <c r="D117" s="11" t="s">
        <v>6</v>
      </c>
      <c r="E117" s="25">
        <f>+Nacho!G66</f>
        <v>0</v>
      </c>
      <c r="F117" s="7"/>
      <c r="G117" s="7"/>
    </row>
    <row r="118" spans="1:7" x14ac:dyDescent="0.25">
      <c r="A118" s="7">
        <v>300</v>
      </c>
      <c r="B118" s="7">
        <v>14036</v>
      </c>
      <c r="C118" s="7" t="s">
        <v>326</v>
      </c>
      <c r="D118" s="11" t="s">
        <v>6</v>
      </c>
      <c r="E118" s="25">
        <f>+Papa!G64+Papa!G70</f>
        <v>0</v>
      </c>
      <c r="F118" s="7"/>
      <c r="G118" s="7"/>
    </row>
    <row r="119" spans="1:7" x14ac:dyDescent="0.25">
      <c r="A119" s="7">
        <v>200</v>
      </c>
      <c r="B119" s="7">
        <v>14035</v>
      </c>
      <c r="C119" s="7" t="s">
        <v>327</v>
      </c>
      <c r="D119" s="11" t="s">
        <v>6</v>
      </c>
      <c r="E119" s="25">
        <f>+Nacho!G65</f>
        <v>0</v>
      </c>
      <c r="F119" s="7"/>
      <c r="G119" s="7"/>
    </row>
    <row r="120" spans="1:7" x14ac:dyDescent="0.25">
      <c r="A120" s="7">
        <v>300</v>
      </c>
      <c r="B120" s="7">
        <v>14038</v>
      </c>
      <c r="C120" s="7" t="s">
        <v>264</v>
      </c>
      <c r="D120" s="11" t="s">
        <v>6</v>
      </c>
      <c r="E120" s="25">
        <f>+Papa!G39+Papa!G48</f>
        <v>0</v>
      </c>
      <c r="F120" s="7"/>
      <c r="G120" s="7"/>
    </row>
    <row r="121" spans="1:7" x14ac:dyDescent="0.25">
      <c r="A121" s="7">
        <v>300</v>
      </c>
      <c r="B121" s="7">
        <v>14035</v>
      </c>
      <c r="C121" s="7" t="s">
        <v>328</v>
      </c>
      <c r="D121" s="11" t="s">
        <v>6</v>
      </c>
      <c r="E121" s="25">
        <f>+Papa!G63+Papa!G68</f>
        <v>0</v>
      </c>
      <c r="F121" s="7"/>
      <c r="G121" s="7"/>
    </row>
    <row r="122" spans="1:7" x14ac:dyDescent="0.25">
      <c r="A122" s="7">
        <v>100</v>
      </c>
      <c r="B122" s="7">
        <v>15006</v>
      </c>
      <c r="C122" s="7" t="s">
        <v>20</v>
      </c>
      <c r="D122" s="11" t="s">
        <v>6</v>
      </c>
      <c r="E122" s="25">
        <f>+Pipa!G17</f>
        <v>0</v>
      </c>
      <c r="F122" s="7"/>
      <c r="G122" s="7"/>
    </row>
    <row r="123" spans="1:7" x14ac:dyDescent="0.25">
      <c r="A123" s="7">
        <v>500</v>
      </c>
      <c r="B123" s="7">
        <v>16001</v>
      </c>
      <c r="C123" s="7" t="s">
        <v>54</v>
      </c>
      <c r="D123" s="11" t="s">
        <v>6</v>
      </c>
      <c r="E123" s="25">
        <f>+Tocino!G4+Tocino!G14</f>
        <v>0</v>
      </c>
      <c r="F123" s="7"/>
      <c r="G123" s="7"/>
    </row>
    <row r="124" spans="1:7" x14ac:dyDescent="0.25">
      <c r="A124" s="7">
        <v>400</v>
      </c>
      <c r="B124" s="7">
        <v>13018</v>
      </c>
      <c r="C124" s="7" t="s">
        <v>90</v>
      </c>
      <c r="D124" s="11" t="s">
        <v>6</v>
      </c>
      <c r="E124" s="25">
        <f>+Megablon!G31+Escuelin!G24+Escuelin!G34+Escuelin!G44+Choconax!G19+Choconax!G30+Escuelin_Des!G23+Nacho!G73</f>
        <v>0</v>
      </c>
      <c r="F124" s="7"/>
      <c r="G124" s="7"/>
    </row>
    <row r="125" spans="1:7" x14ac:dyDescent="0.25">
      <c r="A125" s="7"/>
      <c r="B125" s="51" t="s">
        <v>293</v>
      </c>
      <c r="C125" s="52"/>
      <c r="D125" s="52"/>
      <c r="E125" s="52"/>
      <c r="F125" s="52"/>
      <c r="G125" s="53"/>
    </row>
    <row r="126" spans="1:7" x14ac:dyDescent="0.25">
      <c r="A126" s="7"/>
      <c r="B126" s="7">
        <v>30074</v>
      </c>
      <c r="C126" s="7" t="str">
        <f>+Tocino!B51</f>
        <v>Mix</v>
      </c>
      <c r="D126" s="11" t="s">
        <v>292</v>
      </c>
      <c r="E126" s="7">
        <f>+Tocino!G51</f>
        <v>0</v>
      </c>
      <c r="F126" s="7"/>
      <c r="G126" s="7"/>
    </row>
    <row r="127" spans="1:7" x14ac:dyDescent="0.25">
      <c r="A127" s="7"/>
      <c r="B127" s="7">
        <v>30072</v>
      </c>
      <c r="C127" s="7" t="str">
        <f>+Tocino!B52</f>
        <v>Tocinax</v>
      </c>
      <c r="D127" s="11" t="s">
        <v>292</v>
      </c>
      <c r="E127" s="7">
        <f>+Tocino!G52</f>
        <v>0</v>
      </c>
      <c r="F127" s="7"/>
      <c r="G127" s="7"/>
    </row>
    <row r="128" spans="1:7" x14ac:dyDescent="0.25">
      <c r="A128" s="7"/>
      <c r="B128" s="7">
        <v>30071</v>
      </c>
      <c r="C128" s="7" t="str">
        <f>+Tocino!B53</f>
        <v>Papanax Fuego 25g</v>
      </c>
      <c r="D128" s="11" t="s">
        <v>292</v>
      </c>
      <c r="E128" s="7">
        <f>+Tocino!G53</f>
        <v>0</v>
      </c>
      <c r="F128" s="7"/>
      <c r="G128" s="7"/>
    </row>
    <row r="129" spans="1:7" x14ac:dyDescent="0.25">
      <c r="A129" s="7"/>
      <c r="B129" s="7">
        <v>30065</v>
      </c>
      <c r="C129" s="7" t="str">
        <f>+Tocino!B54</f>
        <v>Papanax Picante 25g</v>
      </c>
      <c r="D129" s="11" t="s">
        <v>292</v>
      </c>
      <c r="E129" s="7">
        <f>+Tocino!G54</f>
        <v>0</v>
      </c>
      <c r="F129" s="7"/>
      <c r="G129" s="7"/>
    </row>
    <row r="130" spans="1:7" x14ac:dyDescent="0.25">
      <c r="A130" s="7"/>
      <c r="B130" s="7">
        <v>30066</v>
      </c>
      <c r="C130" s="7" t="str">
        <f>+Tocino!B55</f>
        <v>Papanax Salada 25g</v>
      </c>
      <c r="D130" s="11" t="s">
        <v>292</v>
      </c>
      <c r="E130" s="7">
        <f>+Tocino!G55</f>
        <v>0</v>
      </c>
      <c r="F130" s="7"/>
      <c r="G130" s="7"/>
    </row>
    <row r="131" spans="1:7" x14ac:dyDescent="0.25">
      <c r="A131" s="7"/>
      <c r="B131" s="7">
        <v>30070</v>
      </c>
      <c r="C131" s="7" t="str">
        <f>+Tocino!B56</f>
        <v>Nachonax Salado 50g</v>
      </c>
      <c r="D131" s="11" t="s">
        <v>292</v>
      </c>
      <c r="E131" s="7">
        <f>+Tocino!G56</f>
        <v>0</v>
      </c>
      <c r="F131" s="7"/>
      <c r="G131" s="7"/>
    </row>
    <row r="132" spans="1:7" x14ac:dyDescent="0.25">
      <c r="A132" s="7"/>
      <c r="B132" s="7">
        <v>30068</v>
      </c>
      <c r="C132" s="7" t="str">
        <f>+Tocino!B57</f>
        <v>Nachonax Queso 50g</v>
      </c>
      <c r="D132" s="11" t="s">
        <v>292</v>
      </c>
      <c r="E132" s="7">
        <f>+Tocino!G57</f>
        <v>0</v>
      </c>
      <c r="F132" s="7"/>
      <c r="G132" s="7"/>
    </row>
    <row r="133" spans="1:7" x14ac:dyDescent="0.25">
      <c r="A133" s="7"/>
      <c r="B133" s="7">
        <v>30067</v>
      </c>
      <c r="C133" s="7" t="str">
        <f>+Tocino!B58</f>
        <v>Nachonax Picante 50g</v>
      </c>
      <c r="D133" s="11" t="s">
        <v>292</v>
      </c>
      <c r="E133" s="7">
        <f>+Tocino!G58</f>
        <v>0</v>
      </c>
      <c r="F133" s="7"/>
      <c r="G133" s="7"/>
    </row>
    <row r="134" spans="1:7" x14ac:dyDescent="0.25">
      <c r="A134" s="7"/>
      <c r="B134" s="7">
        <v>30069</v>
      </c>
      <c r="C134" s="7" t="str">
        <f>+Tocino!B59</f>
        <v>Booho Queso 35g</v>
      </c>
      <c r="D134" s="11" t="s">
        <v>292</v>
      </c>
      <c r="E134" s="7">
        <f>+Tocino!G59</f>
        <v>0</v>
      </c>
      <c r="F134" s="7"/>
      <c r="G134" s="7"/>
    </row>
  </sheetData>
  <autoFilter ref="A3:G134" xr:uid="{B7C59F54-1299-4B62-ADA7-67798DDC0B58}"/>
  <sortState xmlns:xlrd2="http://schemas.microsoft.com/office/spreadsheetml/2017/richdata2" ref="C2:C58">
    <sortCondition ref="C2:C58"/>
  </sortState>
  <mergeCells count="2">
    <mergeCell ref="B1:G1"/>
    <mergeCell ref="B125:G125"/>
  </mergeCells>
  <pageMargins left="0.23622047244094491" right="0.23622047244094491" top="0.74803149606299213" bottom="0.74803149606299213" header="0.31496062992125984" footer="0.31496062992125984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0051-0597-4434-ACBB-F4C489AB1CBF}">
  <sheetPr>
    <tabColor rgb="FF00B050"/>
  </sheetPr>
  <dimension ref="B1:J15"/>
  <sheetViews>
    <sheetView workbookViewId="0">
      <selection activeCell="K15" sqref="K15"/>
    </sheetView>
  </sheetViews>
  <sheetFormatPr baseColWidth="10" defaultRowHeight="15" x14ac:dyDescent="0.25"/>
  <cols>
    <col min="2" max="2" width="30.28515625" customWidth="1"/>
    <col min="4" max="5" width="12.42578125" hidden="1" customWidth="1"/>
    <col min="6" max="6" width="0.42578125" customWidth="1"/>
    <col min="7" max="7" width="28.85546875" customWidth="1"/>
    <col min="8" max="8" width="13.140625" customWidth="1"/>
    <col min="9" max="10" width="11.42578125" hidden="1" customWidth="1"/>
  </cols>
  <sheetData>
    <row r="1" spans="2:10" ht="23.25" x14ac:dyDescent="0.35">
      <c r="B1" s="54" t="str">
        <f>+Resumen!B1</f>
        <v>PLAN PRODUCCIÓN 09 DE OCTUBRE</v>
      </c>
      <c r="C1" s="54"/>
      <c r="D1" s="54"/>
      <c r="E1" s="54"/>
      <c r="F1" s="54"/>
      <c r="G1" s="54"/>
      <c r="H1" s="54"/>
    </row>
    <row r="2" spans="2:10" x14ac:dyDescent="0.25">
      <c r="D2" t="s">
        <v>278</v>
      </c>
      <c r="E2" t="s">
        <v>279</v>
      </c>
      <c r="I2" t="s">
        <v>278</v>
      </c>
      <c r="J2" t="s">
        <v>279</v>
      </c>
    </row>
    <row r="3" spans="2:10" ht="23.25" x14ac:dyDescent="0.35">
      <c r="B3" s="42" t="str">
        <f>+Pipa!A3</f>
        <v>Pipanax 11x26</v>
      </c>
      <c r="C3" s="43">
        <f>+Pipa!E3</f>
        <v>0</v>
      </c>
      <c r="D3" s="43">
        <v>1056</v>
      </c>
      <c r="E3" s="43">
        <f>+Pipa!F3</f>
        <v>0</v>
      </c>
      <c r="F3" s="44"/>
      <c r="G3" s="42" t="str">
        <f>+Tocino!A3</f>
        <v>Tocinax</v>
      </c>
      <c r="H3" s="43">
        <f>+Tocino!E3</f>
        <v>0</v>
      </c>
      <c r="I3" s="43">
        <v>358</v>
      </c>
      <c r="J3" s="43">
        <f>+Tocino!F3</f>
        <v>0</v>
      </c>
    </row>
    <row r="4" spans="2:10" ht="23.25" x14ac:dyDescent="0.35">
      <c r="B4" s="42" t="str">
        <f>+Pipa!A10</f>
        <v>Pipanax 15x30</v>
      </c>
      <c r="C4" s="43">
        <f>+Pipa!E10</f>
        <v>0</v>
      </c>
      <c r="D4" s="43">
        <v>21</v>
      </c>
      <c r="E4" s="43">
        <f>+Pipa!F10</f>
        <v>0</v>
      </c>
      <c r="F4" s="44"/>
      <c r="G4" s="42" t="str">
        <f>+Tocino!A13</f>
        <v>MIX 45g</v>
      </c>
      <c r="H4" s="43">
        <f>+Tocino!E13</f>
        <v>0</v>
      </c>
      <c r="I4" s="43">
        <v>358</v>
      </c>
      <c r="J4" s="43">
        <f>+Tocino!F13</f>
        <v>0</v>
      </c>
    </row>
    <row r="5" spans="2:10" ht="23.25" x14ac:dyDescent="0.35">
      <c r="B5" s="42" t="str">
        <f>+Nacho!A3</f>
        <v>Nachonax Sal 50g</v>
      </c>
      <c r="C5" s="43">
        <f>+Nacho!E3</f>
        <v>0</v>
      </c>
      <c r="D5" s="43">
        <v>733</v>
      </c>
      <c r="E5" s="43">
        <f>+Nacho!F3</f>
        <v>0</v>
      </c>
      <c r="F5" s="44"/>
      <c r="G5" s="42" t="str">
        <f>+Megablon!A3</f>
        <v>Megablon</v>
      </c>
      <c r="H5" s="43">
        <f>+Megablon!E3</f>
        <v>100</v>
      </c>
      <c r="I5" s="43">
        <v>121</v>
      </c>
      <c r="J5" s="43">
        <f>+Megablon!F3</f>
        <v>37</v>
      </c>
    </row>
    <row r="6" spans="2:10" ht="23.25" x14ac:dyDescent="0.35">
      <c r="B6" s="42" t="str">
        <f>+Nacho!A12</f>
        <v>Nachonax Pic 50g</v>
      </c>
      <c r="C6" s="43">
        <f>+Nacho!E12</f>
        <v>0</v>
      </c>
      <c r="D6" s="43">
        <v>185</v>
      </c>
      <c r="E6" s="43">
        <f>+Nacho!F12</f>
        <v>0</v>
      </c>
      <c r="F6" s="44"/>
      <c r="G6" s="42" t="str">
        <f>+Escuelin!A3</f>
        <v>Escuelin X 60</v>
      </c>
      <c r="H6" s="43">
        <f>+Escuelin!E3</f>
        <v>0</v>
      </c>
      <c r="I6" s="43">
        <v>0</v>
      </c>
      <c r="J6" s="43">
        <f>+Escuelin!F3</f>
        <v>0</v>
      </c>
    </row>
    <row r="7" spans="2:10" ht="23.25" x14ac:dyDescent="0.35">
      <c r="B7" s="42" t="str">
        <f>+Nacho!A21</f>
        <v>Nachonax Sal 200g</v>
      </c>
      <c r="C7" s="43">
        <f>+Nacho!E21</f>
        <v>0</v>
      </c>
      <c r="D7" s="43">
        <v>209</v>
      </c>
      <c r="E7" s="43">
        <f>+Nacho!F21</f>
        <v>0</v>
      </c>
      <c r="F7" s="44"/>
      <c r="G7" s="42" t="str">
        <f>+Escuelin_Des!A3</f>
        <v>Alfajor Desayuno</v>
      </c>
      <c r="H7" s="43">
        <f>+Escuelin_Des!E3</f>
        <v>0</v>
      </c>
      <c r="I7" s="43">
        <v>469</v>
      </c>
      <c r="J7" s="43">
        <f>+Escuelin_Des!F3</f>
        <v>0</v>
      </c>
    </row>
    <row r="8" spans="2:10" ht="23.25" x14ac:dyDescent="0.35">
      <c r="B8" s="42" t="str">
        <f>+Nacho!A27</f>
        <v>Nachonax Pic 200g</v>
      </c>
      <c r="C8" s="43">
        <f>+Nacho!E27</f>
        <v>0</v>
      </c>
      <c r="D8" s="43">
        <v>918</v>
      </c>
      <c r="E8" s="43">
        <f>+Nacho!F27</f>
        <v>0</v>
      </c>
      <c r="F8" s="44"/>
      <c r="G8" s="42" t="str">
        <f>+Cuñapé!A3</f>
        <v>Cuñapé</v>
      </c>
      <c r="H8" s="43">
        <f>+Cuñapé!E3</f>
        <v>0</v>
      </c>
      <c r="I8" s="43">
        <v>25</v>
      </c>
      <c r="J8" s="43">
        <f>+Cuñapé!F3</f>
        <v>0</v>
      </c>
    </row>
    <row r="9" spans="2:10" ht="23.25" x14ac:dyDescent="0.35">
      <c r="B9" s="42" t="s">
        <v>280</v>
      </c>
      <c r="C9" s="43">
        <f>+Nacho!E41</f>
        <v>0</v>
      </c>
      <c r="D9" s="43"/>
      <c r="E9" s="43"/>
      <c r="F9" s="44"/>
      <c r="G9" s="42" t="str">
        <f>+Tocino!A33</f>
        <v>Booho queso 35g</v>
      </c>
      <c r="H9" s="43">
        <f>+Tocino!E33</f>
        <v>0</v>
      </c>
      <c r="I9" s="43"/>
      <c r="J9" s="43"/>
    </row>
    <row r="10" spans="2:10" ht="23.25" x14ac:dyDescent="0.35">
      <c r="B10" s="42" t="str">
        <f>+Papa!A3</f>
        <v>Papanax Sal 25g</v>
      </c>
      <c r="C10" s="43">
        <f>+Papa!E3</f>
        <v>0</v>
      </c>
      <c r="D10" s="43">
        <v>34</v>
      </c>
      <c r="E10" s="43">
        <f>+Papa!F3</f>
        <v>0</v>
      </c>
      <c r="F10" s="44"/>
      <c r="G10" s="42" t="s">
        <v>283</v>
      </c>
      <c r="H10" s="43">
        <f>+Tocino!C47</f>
        <v>0</v>
      </c>
      <c r="I10" s="43">
        <v>618</v>
      </c>
      <c r="J10" s="43">
        <f>+Tocino!F33</f>
        <v>0</v>
      </c>
    </row>
    <row r="11" spans="2:10" ht="23.25" x14ac:dyDescent="0.35">
      <c r="B11" s="42" t="str">
        <f>+Papa!A13</f>
        <v xml:space="preserve">Papanax Pic 25g </v>
      </c>
      <c r="C11" s="43">
        <f>+Papa!E13</f>
        <v>0</v>
      </c>
      <c r="D11" s="43">
        <v>262</v>
      </c>
      <c r="E11" s="43">
        <f>+Papa!F13</f>
        <v>0</v>
      </c>
      <c r="F11" s="44"/>
      <c r="G11" s="3"/>
      <c r="H11" s="3"/>
    </row>
    <row r="12" spans="2:10" ht="23.25" x14ac:dyDescent="0.35">
      <c r="B12" s="42" t="str">
        <f>+Papa!A23</f>
        <v>Papanax Sal 110g</v>
      </c>
      <c r="C12" s="43">
        <f>+Papa!E23</f>
        <v>0</v>
      </c>
      <c r="D12" s="43">
        <v>34</v>
      </c>
      <c r="E12" s="43">
        <f>+Papa!F23</f>
        <v>0</v>
      </c>
      <c r="F12" s="44"/>
    </row>
    <row r="13" spans="2:10" ht="23.25" x14ac:dyDescent="0.35">
      <c r="B13" s="42" t="str">
        <f>+Papa!A30</f>
        <v>Papanax Pic 110g</v>
      </c>
      <c r="C13" s="43">
        <f>+Papa!E30</f>
        <v>0</v>
      </c>
      <c r="D13" s="43">
        <v>30</v>
      </c>
      <c r="E13" s="43">
        <f>+Papa!F30</f>
        <v>0</v>
      </c>
      <c r="F13" s="44"/>
    </row>
    <row r="14" spans="2:10" ht="23.25" x14ac:dyDescent="0.35">
      <c r="B14" s="42" t="str">
        <f>+Papa!A37</f>
        <v xml:space="preserve">Papanax Fuego 25g </v>
      </c>
      <c r="C14" s="43">
        <f>+Papa!E37</f>
        <v>0</v>
      </c>
      <c r="D14" s="43">
        <v>298</v>
      </c>
      <c r="E14" s="43">
        <f>+Papa!F37</f>
        <v>0</v>
      </c>
      <c r="F14" s="44"/>
      <c r="G14" s="42"/>
    </row>
    <row r="15" spans="2:10" ht="23.25" x14ac:dyDescent="0.35">
      <c r="B15" s="42" t="str">
        <f>+Papa!A46</f>
        <v>Papanax Fuego 110g</v>
      </c>
      <c r="C15" s="43">
        <f>+Papa!E46</f>
        <v>0</v>
      </c>
      <c r="D15" s="43">
        <v>31</v>
      </c>
      <c r="E15" s="43">
        <f>+Papa!F46</f>
        <v>0</v>
      </c>
      <c r="F15" s="44"/>
      <c r="G15" s="42"/>
    </row>
  </sheetData>
  <mergeCells count="1">
    <mergeCell ref="B1: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75"/>
  <sheetViews>
    <sheetView workbookViewId="0">
      <selection activeCell="L14" sqref="L14"/>
    </sheetView>
  </sheetViews>
  <sheetFormatPr baseColWidth="10" defaultRowHeight="15" x14ac:dyDescent="0.25"/>
  <cols>
    <col min="1" max="1" width="2" customWidth="1"/>
    <col min="2" max="2" width="23.140625" customWidth="1"/>
    <col min="3" max="3" width="6.85546875" customWidth="1"/>
    <col min="4" max="4" width="4.140625" customWidth="1"/>
    <col min="5" max="5" width="9.140625" customWidth="1"/>
    <col min="6" max="6" width="8.7109375" customWidth="1"/>
  </cols>
  <sheetData>
    <row r="1" spans="1:10" x14ac:dyDescent="0.25">
      <c r="E1" s="2"/>
      <c r="F1" s="2"/>
      <c r="G1" s="2"/>
    </row>
    <row r="2" spans="1:10" x14ac:dyDescent="0.25">
      <c r="C2" t="s">
        <v>16</v>
      </c>
      <c r="E2" s="2"/>
      <c r="F2" s="2"/>
      <c r="G2" s="2"/>
      <c r="J2" s="2"/>
    </row>
    <row r="3" spans="1:10" x14ac:dyDescent="0.25">
      <c r="A3" s="3" t="s">
        <v>23</v>
      </c>
      <c r="C3" s="1" t="s">
        <v>26</v>
      </c>
      <c r="D3" t="s">
        <v>27</v>
      </c>
      <c r="E3" s="24"/>
      <c r="F3" s="5"/>
      <c r="G3" s="5"/>
    </row>
    <row r="4" spans="1:10" x14ac:dyDescent="0.25">
      <c r="A4" s="3"/>
      <c r="B4" t="s">
        <v>28</v>
      </c>
      <c r="C4">
        <f>12*12*50/1000</f>
        <v>7.2</v>
      </c>
      <c r="D4" t="s">
        <v>6</v>
      </c>
      <c r="E4" s="6"/>
      <c r="F4" s="5"/>
      <c r="G4" s="5"/>
    </row>
    <row r="5" spans="1:10" x14ac:dyDescent="0.25">
      <c r="A5" s="3"/>
      <c r="B5" t="s">
        <v>29</v>
      </c>
      <c r="C5">
        <v>0.19</v>
      </c>
      <c r="D5" t="s">
        <v>6</v>
      </c>
      <c r="E5" s="5"/>
      <c r="F5" s="5"/>
      <c r="G5" s="5"/>
    </row>
    <row r="6" spans="1:10" x14ac:dyDescent="0.25">
      <c r="A6" s="3"/>
      <c r="B6" t="s">
        <v>30</v>
      </c>
      <c r="C6">
        <v>0.45</v>
      </c>
      <c r="D6" t="s">
        <v>6</v>
      </c>
      <c r="E6" s="5"/>
      <c r="F6" s="5"/>
      <c r="G6" s="5"/>
    </row>
    <row r="7" spans="1:10" x14ac:dyDescent="0.25">
      <c r="A7" s="3"/>
      <c r="B7" t="s">
        <v>31</v>
      </c>
      <c r="C7">
        <v>12</v>
      </c>
      <c r="D7" t="s">
        <v>38</v>
      </c>
      <c r="E7" s="5"/>
      <c r="F7" s="5"/>
      <c r="G7" s="5"/>
    </row>
    <row r="8" spans="1:10" x14ac:dyDescent="0.25">
      <c r="A8" s="3"/>
      <c r="B8" t="s">
        <v>32</v>
      </c>
      <c r="C8">
        <v>1</v>
      </c>
      <c r="D8" t="s">
        <v>38</v>
      </c>
      <c r="E8" s="5"/>
      <c r="F8" s="5"/>
      <c r="G8" s="5"/>
    </row>
    <row r="9" spans="1:10" x14ac:dyDescent="0.25">
      <c r="A9" s="3"/>
      <c r="B9" t="s">
        <v>33</v>
      </c>
      <c r="C9">
        <v>0</v>
      </c>
      <c r="D9" t="s">
        <v>38</v>
      </c>
      <c r="E9" s="5"/>
      <c r="F9" s="5"/>
      <c r="G9" s="5"/>
    </row>
    <row r="10" spans="1:10" x14ac:dyDescent="0.25">
      <c r="A10" s="3"/>
      <c r="B10" t="s">
        <v>34</v>
      </c>
      <c r="C10">
        <v>7.0000000000000001E-3</v>
      </c>
      <c r="D10" t="s">
        <v>15</v>
      </c>
      <c r="E10" s="5"/>
      <c r="F10" s="5"/>
      <c r="G10" s="5"/>
    </row>
    <row r="11" spans="1:10" x14ac:dyDescent="0.25">
      <c r="A11" s="3"/>
      <c r="B11" t="s">
        <v>35</v>
      </c>
      <c r="C11">
        <v>1.2E-2</v>
      </c>
      <c r="D11" t="s">
        <v>15</v>
      </c>
      <c r="E11" s="5"/>
      <c r="F11" s="5"/>
      <c r="G11" s="5"/>
    </row>
    <row r="12" spans="1:10" x14ac:dyDescent="0.25">
      <c r="A12" s="3" t="s">
        <v>24</v>
      </c>
      <c r="D12" t="s">
        <v>27</v>
      </c>
      <c r="E12" s="24"/>
      <c r="F12" s="5"/>
      <c r="G12" s="5"/>
    </row>
    <row r="13" spans="1:10" x14ac:dyDescent="0.25">
      <c r="A13" s="3"/>
      <c r="B13" t="s">
        <v>28</v>
      </c>
      <c r="C13">
        <v>7.2</v>
      </c>
      <c r="D13" t="s">
        <v>6</v>
      </c>
      <c r="E13" s="5"/>
      <c r="F13" s="5"/>
      <c r="G13" s="5"/>
    </row>
    <row r="14" spans="1:10" x14ac:dyDescent="0.25">
      <c r="A14" s="3"/>
      <c r="B14" t="s">
        <v>36</v>
      </c>
      <c r="C14">
        <v>0.42</v>
      </c>
      <c r="D14" t="s">
        <v>6</v>
      </c>
      <c r="E14" s="5"/>
      <c r="F14" s="5"/>
      <c r="G14" s="5"/>
    </row>
    <row r="15" spans="1:10" x14ac:dyDescent="0.25">
      <c r="A15" s="3"/>
      <c r="B15" t="s">
        <v>37</v>
      </c>
      <c r="C15">
        <v>0.45</v>
      </c>
      <c r="D15" t="s">
        <v>6</v>
      </c>
      <c r="E15" s="5"/>
      <c r="F15" s="5"/>
      <c r="G15" s="5"/>
    </row>
    <row r="16" spans="1:10" x14ac:dyDescent="0.25">
      <c r="A16" s="3"/>
      <c r="B16" t="s">
        <v>31</v>
      </c>
      <c r="C16">
        <v>12</v>
      </c>
      <c r="D16" t="s">
        <v>38</v>
      </c>
      <c r="E16" s="5"/>
      <c r="F16" s="5"/>
      <c r="G16" s="5"/>
    </row>
    <row r="17" spans="1:7" x14ac:dyDescent="0.25">
      <c r="A17" s="3"/>
      <c r="B17" t="s">
        <v>32</v>
      </c>
      <c r="C17">
        <v>1</v>
      </c>
      <c r="D17" t="s">
        <v>38</v>
      </c>
      <c r="E17" s="5"/>
      <c r="F17" s="5"/>
      <c r="G17" s="5"/>
    </row>
    <row r="18" spans="1:7" x14ac:dyDescent="0.25">
      <c r="A18" s="3"/>
      <c r="B18" t="s">
        <v>33</v>
      </c>
      <c r="C18">
        <v>0</v>
      </c>
      <c r="D18" t="s">
        <v>38</v>
      </c>
      <c r="E18" s="5"/>
      <c r="F18" s="5"/>
      <c r="G18" s="5"/>
    </row>
    <row r="19" spans="1:7" x14ac:dyDescent="0.25">
      <c r="A19" s="3"/>
      <c r="B19" t="s">
        <v>34</v>
      </c>
      <c r="C19">
        <v>7.0000000000000001E-3</v>
      </c>
      <c r="D19" t="s">
        <v>15</v>
      </c>
      <c r="E19" s="5"/>
      <c r="F19" s="5"/>
      <c r="G19" s="5"/>
    </row>
    <row r="20" spans="1:7" x14ac:dyDescent="0.25">
      <c r="A20" s="3"/>
      <c r="B20" t="s">
        <v>35</v>
      </c>
      <c r="C20">
        <v>1.2E-2</v>
      </c>
      <c r="D20" t="s">
        <v>15</v>
      </c>
      <c r="E20" s="5"/>
      <c r="F20" s="5"/>
      <c r="G20" s="5"/>
    </row>
    <row r="21" spans="1:7" x14ac:dyDescent="0.25">
      <c r="A21" s="3" t="s">
        <v>156</v>
      </c>
      <c r="D21" t="s">
        <v>27</v>
      </c>
      <c r="E21" s="24"/>
      <c r="F21" s="5"/>
      <c r="G21" s="5"/>
    </row>
    <row r="22" spans="1:7" x14ac:dyDescent="0.25">
      <c r="A22" s="3"/>
      <c r="B22" t="s">
        <v>28</v>
      </c>
      <c r="C22">
        <v>4</v>
      </c>
      <c r="D22" t="s">
        <v>6</v>
      </c>
      <c r="E22" s="6"/>
      <c r="F22" s="5"/>
      <c r="G22" s="5"/>
    </row>
    <row r="23" spans="1:7" x14ac:dyDescent="0.25">
      <c r="A23" s="3"/>
      <c r="B23" t="s">
        <v>29</v>
      </c>
      <c r="C23">
        <v>0.24</v>
      </c>
      <c r="D23" t="s">
        <v>6</v>
      </c>
      <c r="E23" s="5"/>
      <c r="F23" s="5"/>
      <c r="G23" s="5"/>
    </row>
    <row r="24" spans="1:7" x14ac:dyDescent="0.25">
      <c r="A24" s="3"/>
      <c r="B24" t="s">
        <v>92</v>
      </c>
      <c r="C24">
        <v>0.25</v>
      </c>
      <c r="D24" t="s">
        <v>6</v>
      </c>
      <c r="E24" s="5"/>
      <c r="F24" s="5"/>
      <c r="G24" s="5"/>
    </row>
    <row r="25" spans="1:7" x14ac:dyDescent="0.25">
      <c r="A25" s="3"/>
      <c r="B25" t="s">
        <v>32</v>
      </c>
      <c r="C25">
        <v>1</v>
      </c>
      <c r="D25" t="s">
        <v>38</v>
      </c>
      <c r="E25" s="5"/>
      <c r="F25" s="5"/>
      <c r="G25" s="5"/>
    </row>
    <row r="26" spans="1:7" x14ac:dyDescent="0.25">
      <c r="A26" s="3"/>
      <c r="B26" t="s">
        <v>35</v>
      </c>
      <c r="C26">
        <v>1.2E-2</v>
      </c>
      <c r="D26" t="s">
        <v>15</v>
      </c>
      <c r="E26" s="5"/>
      <c r="F26" s="5"/>
      <c r="G26" s="5"/>
    </row>
    <row r="27" spans="1:7" x14ac:dyDescent="0.25">
      <c r="A27" s="3" t="s">
        <v>157</v>
      </c>
      <c r="D27" t="s">
        <v>27</v>
      </c>
      <c r="E27" s="24"/>
      <c r="F27" s="5"/>
      <c r="G27" s="5"/>
    </row>
    <row r="28" spans="1:7" x14ac:dyDescent="0.25">
      <c r="A28" s="3"/>
      <c r="B28" t="s">
        <v>28</v>
      </c>
      <c r="C28">
        <v>4</v>
      </c>
      <c r="D28" t="s">
        <v>6</v>
      </c>
      <c r="E28" s="6"/>
      <c r="F28" s="5"/>
      <c r="G28" s="5"/>
    </row>
    <row r="29" spans="1:7" x14ac:dyDescent="0.25">
      <c r="A29" s="3"/>
      <c r="B29" t="s">
        <v>36</v>
      </c>
      <c r="C29">
        <v>0.19</v>
      </c>
      <c r="D29" t="s">
        <v>6</v>
      </c>
      <c r="E29" s="5"/>
      <c r="F29" s="5"/>
      <c r="G29" s="5"/>
    </row>
    <row r="30" spans="1:7" x14ac:dyDescent="0.25">
      <c r="A30" s="3"/>
      <c r="B30" t="s">
        <v>158</v>
      </c>
      <c r="C30">
        <v>0.25</v>
      </c>
      <c r="D30" t="s">
        <v>6</v>
      </c>
      <c r="E30" s="5"/>
      <c r="F30" s="5"/>
      <c r="G30" s="5"/>
    </row>
    <row r="31" spans="1:7" x14ac:dyDescent="0.25">
      <c r="A31" s="3"/>
      <c r="B31" t="s">
        <v>32</v>
      </c>
      <c r="C31">
        <v>1</v>
      </c>
      <c r="D31" t="s">
        <v>38</v>
      </c>
      <c r="E31" s="5"/>
      <c r="F31" s="5"/>
      <c r="G31" s="5"/>
    </row>
    <row r="32" spans="1:7" x14ac:dyDescent="0.25">
      <c r="A32" s="3"/>
      <c r="B32" t="s">
        <v>35</v>
      </c>
      <c r="C32">
        <v>1.2E-2</v>
      </c>
      <c r="D32" t="s">
        <v>15</v>
      </c>
      <c r="E32" s="5"/>
      <c r="F32" s="5"/>
      <c r="G32" s="5"/>
    </row>
    <row r="33" spans="1:7" x14ac:dyDescent="0.25">
      <c r="A33" s="3"/>
      <c r="E33" s="5"/>
      <c r="F33" s="5"/>
      <c r="G33" s="5"/>
    </row>
    <row r="34" spans="1:7" x14ac:dyDescent="0.25">
      <c r="A34" s="3" t="s">
        <v>25</v>
      </c>
      <c r="D34" t="s">
        <v>27</v>
      </c>
      <c r="E34" s="24"/>
      <c r="F34" s="5"/>
      <c r="G34" s="5"/>
    </row>
    <row r="35" spans="1:7" x14ac:dyDescent="0.25">
      <c r="A35" s="3"/>
      <c r="B35" t="s">
        <v>28</v>
      </c>
      <c r="C35">
        <f>10*0.6</f>
        <v>6</v>
      </c>
      <c r="D35" t="s">
        <v>6</v>
      </c>
      <c r="E35" s="6"/>
      <c r="F35" s="5"/>
      <c r="G35" s="5"/>
    </row>
    <row r="36" spans="1:7" x14ac:dyDescent="0.25">
      <c r="A36" s="3"/>
      <c r="B36" t="s">
        <v>29</v>
      </c>
      <c r="C36">
        <v>0.16</v>
      </c>
      <c r="D36" t="s">
        <v>6</v>
      </c>
      <c r="E36" s="5"/>
      <c r="F36" s="5"/>
      <c r="G36" s="5"/>
    </row>
    <row r="37" spans="1:7" x14ac:dyDescent="0.25">
      <c r="A37" s="3"/>
      <c r="B37" t="s">
        <v>121</v>
      </c>
      <c r="C37">
        <v>0.36</v>
      </c>
      <c r="D37" t="s">
        <v>6</v>
      </c>
      <c r="E37" s="5"/>
      <c r="F37" s="5"/>
      <c r="G37" s="5"/>
    </row>
    <row r="38" spans="1:7" x14ac:dyDescent="0.25">
      <c r="A38" s="3"/>
      <c r="B38" t="s">
        <v>32</v>
      </c>
      <c r="C38">
        <v>1</v>
      </c>
      <c r="D38" t="s">
        <v>38</v>
      </c>
      <c r="E38" s="5"/>
      <c r="F38" s="5"/>
      <c r="G38" s="5"/>
    </row>
    <row r="39" spans="1:7" x14ac:dyDescent="0.25">
      <c r="A39" s="3"/>
      <c r="B39" t="s">
        <v>35</v>
      </c>
      <c r="C39">
        <v>1.2E-2</v>
      </c>
      <c r="D39" t="s">
        <v>15</v>
      </c>
      <c r="E39" s="5"/>
      <c r="F39" s="5"/>
      <c r="G39" s="5"/>
    </row>
    <row r="40" spans="1:7" x14ac:dyDescent="0.25">
      <c r="A40" s="3"/>
      <c r="E40" s="5"/>
      <c r="F40" s="5"/>
      <c r="G40" s="5"/>
    </row>
    <row r="41" spans="1:7" x14ac:dyDescent="0.25">
      <c r="A41" s="3" t="s">
        <v>187</v>
      </c>
      <c r="D41" t="s">
        <v>27</v>
      </c>
      <c r="E41" s="24"/>
      <c r="F41" s="5"/>
      <c r="G41" s="5"/>
    </row>
    <row r="42" spans="1:7" x14ac:dyDescent="0.25">
      <c r="A42" s="3"/>
      <c r="B42" t="s">
        <v>28</v>
      </c>
      <c r="C42">
        <v>7.2</v>
      </c>
      <c r="D42" t="s">
        <v>6</v>
      </c>
      <c r="E42" s="5"/>
      <c r="F42" s="5"/>
      <c r="G42" s="5"/>
    </row>
    <row r="43" spans="1:7" x14ac:dyDescent="0.25">
      <c r="A43" s="3"/>
      <c r="B43" t="s">
        <v>188</v>
      </c>
      <c r="C43">
        <v>0.64</v>
      </c>
      <c r="D43" t="s">
        <v>6</v>
      </c>
      <c r="E43" s="5"/>
      <c r="F43" s="5"/>
      <c r="G43" s="5"/>
    </row>
    <row r="44" spans="1:7" x14ac:dyDescent="0.25">
      <c r="A44" s="3"/>
      <c r="B44" t="s">
        <v>189</v>
      </c>
      <c r="C44">
        <v>0.33</v>
      </c>
      <c r="D44" t="s">
        <v>6</v>
      </c>
      <c r="E44" s="5"/>
      <c r="F44" s="5"/>
      <c r="G44" s="5"/>
    </row>
    <row r="45" spans="1:7" x14ac:dyDescent="0.25">
      <c r="A45" s="3"/>
      <c r="B45" t="s">
        <v>31</v>
      </c>
      <c r="C45">
        <v>12</v>
      </c>
      <c r="D45" t="s">
        <v>38</v>
      </c>
      <c r="E45" s="5"/>
      <c r="F45" s="5"/>
      <c r="G45" s="5"/>
    </row>
    <row r="46" spans="1:7" x14ac:dyDescent="0.25">
      <c r="A46" s="3"/>
      <c r="B46" t="s">
        <v>32</v>
      </c>
      <c r="C46">
        <v>1</v>
      </c>
      <c r="D46" t="s">
        <v>38</v>
      </c>
      <c r="E46" s="5"/>
      <c r="F46" s="5"/>
      <c r="G46" s="5"/>
    </row>
    <row r="47" spans="1:7" x14ac:dyDescent="0.25">
      <c r="A47" s="3"/>
      <c r="B47" t="s">
        <v>34</v>
      </c>
      <c r="C47">
        <v>8.9999999999999993E-3</v>
      </c>
      <c r="D47" t="s">
        <v>15</v>
      </c>
      <c r="E47" s="5"/>
      <c r="F47" s="5"/>
      <c r="G47" s="5"/>
    </row>
    <row r="48" spans="1:7" x14ac:dyDescent="0.25">
      <c r="A48" s="3"/>
      <c r="B48" t="s">
        <v>35</v>
      </c>
      <c r="C48">
        <v>1.2E-2</v>
      </c>
      <c r="D48" t="s">
        <v>15</v>
      </c>
      <c r="E48" s="5"/>
      <c r="F48" s="5"/>
      <c r="G48" s="5"/>
    </row>
    <row r="49" spans="1:12" x14ac:dyDescent="0.25">
      <c r="A49" s="3" t="s">
        <v>28</v>
      </c>
      <c r="D49" t="s">
        <v>6</v>
      </c>
      <c r="E49" s="5"/>
      <c r="F49" s="5"/>
      <c r="G49" s="5"/>
    </row>
    <row r="50" spans="1:12" x14ac:dyDescent="0.25">
      <c r="A50" s="3"/>
      <c r="B50" t="s">
        <v>39</v>
      </c>
      <c r="C50">
        <v>0.9</v>
      </c>
      <c r="D50" t="s">
        <v>6</v>
      </c>
      <c r="E50" s="5"/>
      <c r="F50" s="5"/>
      <c r="G50" s="5"/>
      <c r="L50" t="e">
        <f>+K50/H50</f>
        <v>#DIV/0!</v>
      </c>
    </row>
    <row r="51" spans="1:12" x14ac:dyDescent="0.25">
      <c r="A51" s="3"/>
      <c r="B51" t="s">
        <v>40</v>
      </c>
      <c r="C51">
        <v>0.25</v>
      </c>
      <c r="D51" t="s">
        <v>6</v>
      </c>
      <c r="E51" s="5"/>
      <c r="F51" s="5"/>
      <c r="G51" s="5"/>
    </row>
    <row r="52" spans="1:12" x14ac:dyDescent="0.25">
      <c r="A52" s="3"/>
      <c r="B52" t="s">
        <v>41</v>
      </c>
      <c r="C52">
        <v>0</v>
      </c>
      <c r="D52" t="s">
        <v>6</v>
      </c>
      <c r="E52" s="5"/>
      <c r="F52" s="5"/>
      <c r="G52" s="5"/>
    </row>
    <row r="53" spans="1:12" x14ac:dyDescent="0.25">
      <c r="A53" s="3"/>
      <c r="B53" t="s">
        <v>42</v>
      </c>
      <c r="C53">
        <v>6.2E-2</v>
      </c>
      <c r="D53" t="s">
        <v>6</v>
      </c>
      <c r="E53" s="5"/>
      <c r="F53" s="5"/>
      <c r="G53" s="5"/>
    </row>
    <row r="54" spans="1:12" x14ac:dyDescent="0.25">
      <c r="A54" s="3"/>
      <c r="B54" t="s">
        <v>212</v>
      </c>
      <c r="C54">
        <v>5.0000000000000001E-3</v>
      </c>
      <c r="E54" s="5"/>
      <c r="F54" s="5"/>
      <c r="G54" s="5"/>
    </row>
    <row r="55" spans="1:12" x14ac:dyDescent="0.25">
      <c r="A55" s="3" t="s">
        <v>29</v>
      </c>
      <c r="D55" t="s">
        <v>6</v>
      </c>
      <c r="E55" s="5"/>
      <c r="F55" s="5"/>
      <c r="G55" s="5"/>
    </row>
    <row r="56" spans="1:12" x14ac:dyDescent="0.25">
      <c r="A56" s="3"/>
      <c r="B56" t="s">
        <v>43</v>
      </c>
      <c r="C56">
        <v>0.14280000000000001</v>
      </c>
      <c r="D56" t="s">
        <v>6</v>
      </c>
      <c r="E56" s="5"/>
      <c r="F56" s="5"/>
      <c r="G56" s="5"/>
    </row>
    <row r="57" spans="1:12" x14ac:dyDescent="0.25">
      <c r="A57" s="3"/>
      <c r="B57" t="s">
        <v>21</v>
      </c>
      <c r="C57">
        <v>0.81630000000000003</v>
      </c>
      <c r="D57" t="s">
        <v>6</v>
      </c>
      <c r="E57" s="5"/>
      <c r="F57" s="5"/>
      <c r="G57" s="5"/>
    </row>
    <row r="58" spans="1:12" x14ac:dyDescent="0.25">
      <c r="A58" s="3"/>
      <c r="B58" t="s">
        <v>19</v>
      </c>
      <c r="C58">
        <v>4.1000000000000002E-2</v>
      </c>
      <c r="D58" t="s">
        <v>6</v>
      </c>
      <c r="E58" s="5"/>
      <c r="F58" s="5"/>
      <c r="G58" s="5"/>
    </row>
    <row r="59" spans="1:12" x14ac:dyDescent="0.25">
      <c r="A59" s="3"/>
      <c r="E59" s="5"/>
      <c r="F59" s="5"/>
      <c r="G59" s="5"/>
    </row>
    <row r="60" spans="1:12" x14ac:dyDescent="0.25">
      <c r="A60" s="3" t="s">
        <v>36</v>
      </c>
      <c r="D60" t="s">
        <v>6</v>
      </c>
      <c r="E60" s="5"/>
      <c r="F60" s="5"/>
      <c r="G60" s="5"/>
    </row>
    <row r="61" spans="1:12" x14ac:dyDescent="0.25">
      <c r="B61" t="s">
        <v>43</v>
      </c>
      <c r="C61">
        <v>0.22</v>
      </c>
      <c r="E61" s="5"/>
      <c r="F61" s="5"/>
      <c r="G61" s="5"/>
    </row>
    <row r="62" spans="1:12" x14ac:dyDescent="0.25">
      <c r="B62" t="s">
        <v>21</v>
      </c>
      <c r="C62">
        <v>0.125</v>
      </c>
      <c r="E62" s="5"/>
      <c r="F62" s="5"/>
      <c r="G62" s="5"/>
    </row>
    <row r="63" spans="1:12" x14ac:dyDescent="0.25">
      <c r="B63" t="s">
        <v>44</v>
      </c>
      <c r="C63">
        <v>6.0999999999999999E-2</v>
      </c>
      <c r="E63" s="5"/>
      <c r="F63" s="5"/>
      <c r="G63" s="5"/>
    </row>
    <row r="64" spans="1:12" x14ac:dyDescent="0.25">
      <c r="B64" t="s">
        <v>45</v>
      </c>
      <c r="C64">
        <v>0.185</v>
      </c>
      <c r="E64" s="5"/>
      <c r="F64" s="5"/>
      <c r="G64" s="5"/>
    </row>
    <row r="65" spans="1:7" x14ac:dyDescent="0.25">
      <c r="B65" t="s">
        <v>46</v>
      </c>
      <c r="C65">
        <v>0.31</v>
      </c>
      <c r="E65" s="5"/>
      <c r="F65" s="5"/>
      <c r="G65" s="5"/>
    </row>
    <row r="66" spans="1:7" x14ac:dyDescent="0.25">
      <c r="B66" t="s">
        <v>47</v>
      </c>
      <c r="C66">
        <v>9.0999999999999998E-2</v>
      </c>
      <c r="E66" s="5"/>
      <c r="F66" s="5"/>
      <c r="G66" s="5"/>
    </row>
    <row r="67" spans="1:7" x14ac:dyDescent="0.25">
      <c r="B67" t="s">
        <v>19</v>
      </c>
      <c r="C67">
        <v>3.1E-2</v>
      </c>
      <c r="E67" s="5"/>
      <c r="F67" s="5"/>
      <c r="G67" s="5"/>
    </row>
    <row r="69" spans="1:7" x14ac:dyDescent="0.25">
      <c r="A69" s="3" t="s">
        <v>188</v>
      </c>
      <c r="G69" s="5"/>
    </row>
    <row r="70" spans="1:7" x14ac:dyDescent="0.25">
      <c r="B70" t="s">
        <v>192</v>
      </c>
      <c r="C70">
        <v>10</v>
      </c>
    </row>
    <row r="71" spans="1:7" x14ac:dyDescent="0.25">
      <c r="B71" t="s">
        <v>193</v>
      </c>
      <c r="C71">
        <v>4</v>
      </c>
    </row>
    <row r="72" spans="1:7" x14ac:dyDescent="0.25">
      <c r="B72" t="s">
        <v>194</v>
      </c>
      <c r="C72">
        <v>4</v>
      </c>
    </row>
    <row r="73" spans="1:7" x14ac:dyDescent="0.25">
      <c r="B73" t="s">
        <v>83</v>
      </c>
      <c r="C73">
        <v>6.8</v>
      </c>
    </row>
    <row r="74" spans="1:7" x14ac:dyDescent="0.25">
      <c r="B74" t="s">
        <v>195</v>
      </c>
      <c r="C74">
        <v>2.8</v>
      </c>
    </row>
    <row r="75" spans="1:7" x14ac:dyDescent="0.25">
      <c r="C75">
        <f>SUM(C70:C74)</f>
        <v>27.6</v>
      </c>
    </row>
  </sheetData>
  <pageMargins left="0.25" right="0.25" top="0.75" bottom="0.75" header="0.3" footer="0.3"/>
  <pageSetup scale="6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5"/>
  <sheetViews>
    <sheetView topLeftCell="A64" workbookViewId="0">
      <selection activeCell="G8" sqref="G8"/>
    </sheetView>
  </sheetViews>
  <sheetFormatPr baseColWidth="10" defaultRowHeight="15" x14ac:dyDescent="0.25"/>
  <cols>
    <col min="1" max="1" width="2" customWidth="1"/>
    <col min="2" max="2" width="23.140625" customWidth="1"/>
    <col min="3" max="3" width="6.85546875" customWidth="1"/>
    <col min="4" max="4" width="4.140625" customWidth="1"/>
    <col min="5" max="5" width="9.140625" customWidth="1"/>
    <col min="6" max="6" width="8.7109375" customWidth="1"/>
  </cols>
  <sheetData>
    <row r="1" spans="1:10" x14ac:dyDescent="0.25">
      <c r="E1" s="2"/>
      <c r="F1" s="2"/>
      <c r="G1" s="2"/>
    </row>
    <row r="2" spans="1:10" x14ac:dyDescent="0.25">
      <c r="C2" t="s">
        <v>16</v>
      </c>
      <c r="E2" s="2"/>
      <c r="F2" s="2"/>
      <c r="G2" s="2"/>
      <c r="J2" s="2"/>
    </row>
    <row r="3" spans="1:10" x14ac:dyDescent="0.25">
      <c r="A3" s="3" t="s">
        <v>265</v>
      </c>
      <c r="B3" s="3"/>
      <c r="C3" s="1" t="s">
        <v>26</v>
      </c>
      <c r="D3" t="s">
        <v>27</v>
      </c>
      <c r="E3" s="24"/>
      <c r="F3" s="5"/>
      <c r="G3" s="5"/>
    </row>
    <row r="4" spans="1:10" x14ac:dyDescent="0.25">
      <c r="B4" t="s">
        <v>48</v>
      </c>
      <c r="C4">
        <v>3.9</v>
      </c>
      <c r="D4" t="s">
        <v>6</v>
      </c>
      <c r="E4" s="6"/>
      <c r="F4" s="5"/>
      <c r="G4" s="5"/>
    </row>
    <row r="5" spans="1:10" x14ac:dyDescent="0.25">
      <c r="B5" t="s">
        <v>21</v>
      </c>
      <c r="C5">
        <v>0.1</v>
      </c>
      <c r="D5" t="s">
        <v>6</v>
      </c>
      <c r="E5" s="5"/>
      <c r="F5" s="5"/>
      <c r="G5" s="5"/>
    </row>
    <row r="6" spans="1:10" x14ac:dyDescent="0.25">
      <c r="B6" t="s">
        <v>49</v>
      </c>
      <c r="C6">
        <v>0.4</v>
      </c>
      <c r="D6" t="s">
        <v>6</v>
      </c>
      <c r="E6" s="5"/>
      <c r="F6" s="5"/>
      <c r="G6" s="5"/>
    </row>
    <row r="7" spans="1:10" x14ac:dyDescent="0.25">
      <c r="B7" t="s">
        <v>31</v>
      </c>
      <c r="C7">
        <v>12</v>
      </c>
      <c r="D7" t="s">
        <v>38</v>
      </c>
      <c r="E7" s="5"/>
      <c r="F7" s="5"/>
      <c r="G7" s="5"/>
    </row>
    <row r="8" spans="1:10" x14ac:dyDescent="0.25">
      <c r="B8" t="s">
        <v>32</v>
      </c>
      <c r="C8">
        <v>1</v>
      </c>
      <c r="D8" t="s">
        <v>38</v>
      </c>
      <c r="E8" s="5"/>
      <c r="F8" s="5"/>
      <c r="G8" s="5"/>
    </row>
    <row r="9" spans="1:10" x14ac:dyDescent="0.25">
      <c r="B9" t="s">
        <v>33</v>
      </c>
      <c r="C9">
        <v>0</v>
      </c>
      <c r="D9" t="s">
        <v>38</v>
      </c>
      <c r="E9" s="5"/>
      <c r="F9" s="5"/>
      <c r="G9" s="5"/>
    </row>
    <row r="10" spans="1:10" x14ac:dyDescent="0.25">
      <c r="B10" t="s">
        <v>34</v>
      </c>
      <c r="C10">
        <v>7.0000000000000001E-3</v>
      </c>
      <c r="D10" t="s">
        <v>15</v>
      </c>
      <c r="E10" s="5"/>
      <c r="F10" s="5"/>
      <c r="G10" s="5"/>
    </row>
    <row r="11" spans="1:10" x14ac:dyDescent="0.25">
      <c r="B11" t="s">
        <v>35</v>
      </c>
      <c r="C11">
        <v>1.2E-2</v>
      </c>
      <c r="D11" t="s">
        <v>15</v>
      </c>
      <c r="E11" s="5"/>
      <c r="F11" s="5"/>
      <c r="G11" s="5"/>
    </row>
    <row r="12" spans="1:10" x14ac:dyDescent="0.25">
      <c r="E12" s="5"/>
      <c r="F12" s="5"/>
      <c r="G12" s="5"/>
    </row>
    <row r="13" spans="1:10" x14ac:dyDescent="0.25">
      <c r="A13" s="3" t="s">
        <v>266</v>
      </c>
      <c r="D13" t="s">
        <v>27</v>
      </c>
      <c r="E13" s="24"/>
      <c r="F13" s="5"/>
      <c r="G13" s="5"/>
    </row>
    <row r="14" spans="1:10" x14ac:dyDescent="0.25">
      <c r="B14" t="s">
        <v>48</v>
      </c>
      <c r="C14">
        <v>3.9</v>
      </c>
      <c r="D14" t="s">
        <v>6</v>
      </c>
      <c r="E14" s="6"/>
      <c r="F14" s="5"/>
      <c r="G14" s="5"/>
    </row>
    <row r="15" spans="1:10" x14ac:dyDescent="0.25">
      <c r="B15" t="s">
        <v>36</v>
      </c>
      <c r="C15">
        <v>0.3</v>
      </c>
      <c r="D15" t="s">
        <v>6</v>
      </c>
      <c r="E15" s="5"/>
      <c r="F15" s="5"/>
      <c r="G15" s="5"/>
    </row>
    <row r="16" spans="1:10" x14ac:dyDescent="0.25">
      <c r="B16" t="s">
        <v>50</v>
      </c>
      <c r="C16">
        <v>0.45</v>
      </c>
      <c r="D16" t="s">
        <v>6</v>
      </c>
      <c r="E16" s="5"/>
      <c r="F16" s="5"/>
      <c r="G16" s="5"/>
    </row>
    <row r="17" spans="1:7" x14ac:dyDescent="0.25">
      <c r="B17" t="s">
        <v>31</v>
      </c>
      <c r="C17">
        <v>12</v>
      </c>
      <c r="D17" t="s">
        <v>38</v>
      </c>
      <c r="E17" s="5"/>
      <c r="F17" s="5"/>
      <c r="G17" s="5"/>
    </row>
    <row r="18" spans="1:7" x14ac:dyDescent="0.25">
      <c r="B18" t="s">
        <v>32</v>
      </c>
      <c r="C18">
        <v>1</v>
      </c>
      <c r="D18" t="s">
        <v>38</v>
      </c>
      <c r="E18" s="5"/>
      <c r="F18" s="5"/>
      <c r="G18" s="5"/>
    </row>
    <row r="19" spans="1:7" x14ac:dyDescent="0.25">
      <c r="B19" t="s">
        <v>33</v>
      </c>
      <c r="C19">
        <v>0</v>
      </c>
      <c r="D19" t="s">
        <v>38</v>
      </c>
      <c r="E19" s="5"/>
      <c r="F19" s="5"/>
      <c r="G19" s="5"/>
    </row>
    <row r="20" spans="1:7" x14ac:dyDescent="0.25">
      <c r="B20" t="s">
        <v>34</v>
      </c>
      <c r="C20">
        <v>7.0000000000000001E-3</v>
      </c>
      <c r="D20" t="s">
        <v>15</v>
      </c>
      <c r="E20" s="5"/>
      <c r="F20" s="5"/>
      <c r="G20" s="5"/>
    </row>
    <row r="21" spans="1:7" x14ac:dyDescent="0.25">
      <c r="B21" t="s">
        <v>35</v>
      </c>
      <c r="C21">
        <v>1.2E-2</v>
      </c>
      <c r="D21" t="s">
        <v>15</v>
      </c>
      <c r="E21" s="5"/>
      <c r="F21" s="5"/>
      <c r="G21" s="5"/>
    </row>
    <row r="22" spans="1:7" x14ac:dyDescent="0.25">
      <c r="E22" s="5"/>
      <c r="F22" s="5"/>
      <c r="G22" s="5"/>
    </row>
    <row r="23" spans="1:7" x14ac:dyDescent="0.25">
      <c r="A23" s="3" t="s">
        <v>198</v>
      </c>
      <c r="B23" s="3"/>
      <c r="C23" s="1" t="s">
        <v>26</v>
      </c>
      <c r="D23" t="s">
        <v>27</v>
      </c>
      <c r="E23" s="24"/>
      <c r="F23" s="5"/>
      <c r="G23" s="5"/>
    </row>
    <row r="24" spans="1:7" x14ac:dyDescent="0.25">
      <c r="B24" t="s">
        <v>48</v>
      </c>
      <c r="C24">
        <f>30*0.11</f>
        <v>3.3</v>
      </c>
      <c r="D24" t="s">
        <v>6</v>
      </c>
      <c r="E24" s="6"/>
      <c r="F24" s="5"/>
      <c r="G24" s="5"/>
    </row>
    <row r="25" spans="1:7" x14ac:dyDescent="0.25">
      <c r="B25" t="s">
        <v>21</v>
      </c>
      <c r="C25">
        <v>0.15</v>
      </c>
      <c r="D25" t="s">
        <v>6</v>
      </c>
      <c r="E25" s="5"/>
      <c r="F25" s="5"/>
      <c r="G25" s="5"/>
    </row>
    <row r="26" spans="1:7" x14ac:dyDescent="0.25">
      <c r="B26" t="s">
        <v>199</v>
      </c>
      <c r="C26">
        <v>0.35</v>
      </c>
      <c r="D26" t="s">
        <v>6</v>
      </c>
      <c r="E26" s="5"/>
      <c r="F26" s="5"/>
      <c r="G26" s="5"/>
    </row>
    <row r="27" spans="1:7" x14ac:dyDescent="0.25">
      <c r="B27" t="s">
        <v>32</v>
      </c>
      <c r="C27">
        <v>1</v>
      </c>
      <c r="D27" t="s">
        <v>38</v>
      </c>
      <c r="E27" s="5"/>
      <c r="F27" s="5"/>
      <c r="G27" s="5"/>
    </row>
    <row r="28" spans="1:7" x14ac:dyDescent="0.25">
      <c r="B28" t="s">
        <v>35</v>
      </c>
      <c r="C28">
        <v>1.2E-2</v>
      </c>
      <c r="D28" t="s">
        <v>15</v>
      </c>
      <c r="E28" s="5"/>
      <c r="F28" s="5"/>
      <c r="G28" s="5"/>
    </row>
    <row r="29" spans="1:7" x14ac:dyDescent="0.25">
      <c r="E29" s="5"/>
      <c r="F29" s="5"/>
      <c r="G29" s="5"/>
    </row>
    <row r="30" spans="1:7" x14ac:dyDescent="0.25">
      <c r="A30" s="3" t="s">
        <v>200</v>
      </c>
      <c r="B30" s="3"/>
      <c r="C30" s="1" t="s">
        <v>26</v>
      </c>
      <c r="D30" t="s">
        <v>27</v>
      </c>
      <c r="E30" s="24"/>
      <c r="F30" s="5"/>
      <c r="G30" s="5"/>
    </row>
    <row r="31" spans="1:7" x14ac:dyDescent="0.25">
      <c r="B31" t="s">
        <v>48</v>
      </c>
      <c r="C31">
        <f>30*0.11</f>
        <v>3.3</v>
      </c>
      <c r="D31" t="s">
        <v>6</v>
      </c>
      <c r="E31" s="6"/>
      <c r="F31" s="5"/>
      <c r="G31" s="5"/>
    </row>
    <row r="32" spans="1:7" x14ac:dyDescent="0.25">
      <c r="B32" t="s">
        <v>36</v>
      </c>
      <c r="C32">
        <v>0.25</v>
      </c>
      <c r="D32" t="s">
        <v>6</v>
      </c>
      <c r="E32" s="5"/>
      <c r="F32" s="5"/>
      <c r="G32" s="5"/>
    </row>
    <row r="33" spans="1:7" x14ac:dyDescent="0.25">
      <c r="B33" t="s">
        <v>201</v>
      </c>
      <c r="C33">
        <v>0.35</v>
      </c>
      <c r="D33" t="s">
        <v>6</v>
      </c>
      <c r="E33" s="5"/>
      <c r="F33" s="5"/>
      <c r="G33" s="5"/>
    </row>
    <row r="34" spans="1:7" x14ac:dyDescent="0.25">
      <c r="B34" t="s">
        <v>32</v>
      </c>
      <c r="C34">
        <v>1</v>
      </c>
      <c r="D34" t="s">
        <v>38</v>
      </c>
      <c r="E34" s="5"/>
      <c r="F34" s="5"/>
      <c r="G34" s="5"/>
    </row>
    <row r="35" spans="1:7" x14ac:dyDescent="0.25">
      <c r="B35" t="s">
        <v>35</v>
      </c>
      <c r="C35">
        <v>1.2E-2</v>
      </c>
      <c r="D35" t="s">
        <v>15</v>
      </c>
      <c r="E35" s="5"/>
      <c r="F35" s="5"/>
      <c r="G35" s="5"/>
    </row>
    <row r="36" spans="1:7" x14ac:dyDescent="0.25">
      <c r="E36" s="5"/>
      <c r="F36" s="5"/>
      <c r="G36" s="5"/>
    </row>
    <row r="37" spans="1:7" x14ac:dyDescent="0.25">
      <c r="A37" s="3" t="s">
        <v>267</v>
      </c>
      <c r="D37" t="s">
        <v>27</v>
      </c>
      <c r="E37" s="24"/>
      <c r="F37" s="5"/>
      <c r="G37" s="5"/>
    </row>
    <row r="38" spans="1:7" x14ac:dyDescent="0.25">
      <c r="B38" t="s">
        <v>48</v>
      </c>
      <c r="C38">
        <v>3.9</v>
      </c>
      <c r="D38" t="s">
        <v>6</v>
      </c>
      <c r="E38" s="6"/>
      <c r="F38" s="5"/>
      <c r="G38" s="5"/>
    </row>
    <row r="39" spans="1:7" x14ac:dyDescent="0.25">
      <c r="B39" t="s">
        <v>202</v>
      </c>
      <c r="C39">
        <v>0.26</v>
      </c>
      <c r="D39" t="s">
        <v>6</v>
      </c>
      <c r="E39" s="5"/>
      <c r="F39" s="5"/>
      <c r="G39" s="5"/>
    </row>
    <row r="40" spans="1:7" x14ac:dyDescent="0.25">
      <c r="B40" t="s">
        <v>203</v>
      </c>
      <c r="C40">
        <v>0.34</v>
      </c>
      <c r="D40" t="s">
        <v>6</v>
      </c>
      <c r="E40" s="5"/>
      <c r="F40" s="5"/>
      <c r="G40" s="5"/>
    </row>
    <row r="41" spans="1:7" x14ac:dyDescent="0.25">
      <c r="B41" t="s">
        <v>31</v>
      </c>
      <c r="C41">
        <v>12</v>
      </c>
      <c r="D41" t="s">
        <v>38</v>
      </c>
      <c r="E41" s="5"/>
      <c r="F41" s="5"/>
      <c r="G41" s="5"/>
    </row>
    <row r="42" spans="1:7" x14ac:dyDescent="0.25">
      <c r="B42" t="s">
        <v>32</v>
      </c>
      <c r="C42">
        <v>1</v>
      </c>
      <c r="D42" t="s">
        <v>38</v>
      </c>
      <c r="E42" s="5"/>
      <c r="F42" s="5"/>
      <c r="G42" s="5"/>
    </row>
    <row r="43" spans="1:7" x14ac:dyDescent="0.25">
      <c r="B43" t="s">
        <v>34</v>
      </c>
      <c r="C43">
        <v>7.0000000000000001E-3</v>
      </c>
      <c r="D43" t="s">
        <v>15</v>
      </c>
      <c r="E43" s="5"/>
      <c r="F43" s="5"/>
      <c r="G43" s="5"/>
    </row>
    <row r="44" spans="1:7" x14ac:dyDescent="0.25">
      <c r="B44" t="s">
        <v>35</v>
      </c>
      <c r="C44">
        <v>1.2E-2</v>
      </c>
      <c r="D44" t="s">
        <v>15</v>
      </c>
      <c r="E44" s="5"/>
      <c r="F44" s="5"/>
      <c r="G44" s="5"/>
    </row>
    <row r="45" spans="1:7" x14ac:dyDescent="0.25">
      <c r="E45" s="5"/>
      <c r="F45" s="5"/>
      <c r="G45" s="5"/>
    </row>
    <row r="46" spans="1:7" x14ac:dyDescent="0.25">
      <c r="A46" s="3" t="s">
        <v>236</v>
      </c>
      <c r="B46" s="3"/>
      <c r="C46" s="1" t="s">
        <v>26</v>
      </c>
      <c r="D46" t="s">
        <v>27</v>
      </c>
      <c r="E46" s="24"/>
      <c r="F46" s="5"/>
      <c r="G46" s="5"/>
    </row>
    <row r="47" spans="1:7" x14ac:dyDescent="0.25">
      <c r="B47" t="s">
        <v>48</v>
      </c>
      <c r="C47">
        <f>30*0.11</f>
        <v>3.3</v>
      </c>
      <c r="D47" t="s">
        <v>6</v>
      </c>
      <c r="E47" s="6"/>
      <c r="F47" s="5"/>
      <c r="G47" s="5"/>
    </row>
    <row r="48" spans="1:7" x14ac:dyDescent="0.25">
      <c r="B48" t="s">
        <v>237</v>
      </c>
      <c r="C48">
        <v>0.25</v>
      </c>
      <c r="D48" t="s">
        <v>6</v>
      </c>
      <c r="E48" s="5"/>
      <c r="F48" s="5"/>
      <c r="G48" s="5"/>
    </row>
    <row r="49" spans="1:7" x14ac:dyDescent="0.25">
      <c r="B49" t="s">
        <v>238</v>
      </c>
      <c r="C49">
        <v>0.35</v>
      </c>
      <c r="D49" t="s">
        <v>6</v>
      </c>
      <c r="E49" s="5"/>
      <c r="F49" s="5"/>
      <c r="G49" s="5"/>
    </row>
    <row r="50" spans="1:7" x14ac:dyDescent="0.25">
      <c r="B50" t="s">
        <v>32</v>
      </c>
      <c r="C50">
        <v>1</v>
      </c>
      <c r="D50" t="s">
        <v>38</v>
      </c>
      <c r="E50" s="5"/>
      <c r="F50" s="5"/>
      <c r="G50" s="5"/>
    </row>
    <row r="51" spans="1:7" x14ac:dyDescent="0.25">
      <c r="B51" t="s">
        <v>35</v>
      </c>
      <c r="C51">
        <v>1.2E-2</v>
      </c>
      <c r="D51" t="s">
        <v>15</v>
      </c>
      <c r="E51" s="5"/>
      <c r="F51" s="5"/>
      <c r="G51" s="5"/>
    </row>
    <row r="52" spans="1:7" x14ac:dyDescent="0.25">
      <c r="E52" s="5"/>
      <c r="F52" s="5"/>
      <c r="G52" s="5"/>
    </row>
    <row r="53" spans="1:7" x14ac:dyDescent="0.25">
      <c r="A53" s="3" t="s">
        <v>48</v>
      </c>
      <c r="E53" s="5"/>
      <c r="F53" s="5"/>
      <c r="G53" s="5"/>
    </row>
    <row r="54" spans="1:7" x14ac:dyDescent="0.25">
      <c r="B54" t="s">
        <v>51</v>
      </c>
      <c r="C54">
        <v>3.5</v>
      </c>
      <c r="E54" s="5"/>
      <c r="F54" s="5"/>
      <c r="G54" s="5"/>
    </row>
    <row r="55" spans="1:7" x14ac:dyDescent="0.25">
      <c r="B55" t="s">
        <v>40</v>
      </c>
      <c r="C55">
        <v>0.45</v>
      </c>
      <c r="E55" s="5"/>
      <c r="F55" s="5"/>
      <c r="G55" s="5"/>
    </row>
    <row r="56" spans="1:7" x14ac:dyDescent="0.25">
      <c r="B56" t="s">
        <v>41</v>
      </c>
      <c r="C56">
        <v>2.0000000000000001E-4</v>
      </c>
      <c r="E56" s="5"/>
      <c r="F56" s="5"/>
      <c r="G56" s="5"/>
    </row>
    <row r="57" spans="1:7" x14ac:dyDescent="0.25">
      <c r="B57" t="s">
        <v>212</v>
      </c>
      <c r="C57">
        <v>5.0000000000000001E-3</v>
      </c>
      <c r="E57" s="5"/>
      <c r="F57" s="5"/>
      <c r="G57" s="5"/>
    </row>
    <row r="58" spans="1:7" x14ac:dyDescent="0.25">
      <c r="A58" s="3" t="s">
        <v>36</v>
      </c>
      <c r="D58" t="s">
        <v>6</v>
      </c>
      <c r="E58" s="5"/>
      <c r="F58" s="5"/>
      <c r="G58" s="5"/>
    </row>
    <row r="59" spans="1:7" x14ac:dyDescent="0.25">
      <c r="B59" t="s">
        <v>43</v>
      </c>
      <c r="C59">
        <v>0.22</v>
      </c>
      <c r="E59" s="5"/>
      <c r="F59" s="5"/>
      <c r="G59" s="5"/>
    </row>
    <row r="60" spans="1:7" x14ac:dyDescent="0.25">
      <c r="B60" t="s">
        <v>21</v>
      </c>
      <c r="C60">
        <v>0.125</v>
      </c>
      <c r="E60" s="5"/>
      <c r="F60" s="5"/>
      <c r="G60" s="5"/>
    </row>
    <row r="61" spans="1:7" x14ac:dyDescent="0.25">
      <c r="B61" t="s">
        <v>44</v>
      </c>
      <c r="C61">
        <v>6.2E-2</v>
      </c>
      <c r="E61" s="5"/>
      <c r="F61" s="5"/>
      <c r="G61" s="5"/>
    </row>
    <row r="62" spans="1:7" x14ac:dyDescent="0.25">
      <c r="B62" t="s">
        <v>45</v>
      </c>
      <c r="C62">
        <v>0.19</v>
      </c>
      <c r="E62" s="5"/>
      <c r="F62" s="5"/>
      <c r="G62" s="5"/>
    </row>
    <row r="63" spans="1:7" x14ac:dyDescent="0.25">
      <c r="B63" t="s">
        <v>46</v>
      </c>
      <c r="C63">
        <v>0.31</v>
      </c>
      <c r="E63" s="5"/>
      <c r="F63" s="5"/>
      <c r="G63" s="5"/>
    </row>
    <row r="64" spans="1:7" x14ac:dyDescent="0.25">
      <c r="B64" t="s">
        <v>47</v>
      </c>
      <c r="C64">
        <v>0.08</v>
      </c>
      <c r="E64" s="5"/>
      <c r="F64" s="5"/>
      <c r="G64" s="5"/>
    </row>
    <row r="65" spans="1:7" x14ac:dyDescent="0.25">
      <c r="B65" t="s">
        <v>19</v>
      </c>
      <c r="C65">
        <v>3.1E-2</v>
      </c>
      <c r="E65" s="5"/>
      <c r="F65" s="5"/>
      <c r="G65" s="5"/>
    </row>
    <row r="67" spans="1:7" x14ac:dyDescent="0.25">
      <c r="A67" s="3" t="s">
        <v>202</v>
      </c>
      <c r="D67" t="s">
        <v>6</v>
      </c>
      <c r="E67" s="5"/>
      <c r="F67" s="5"/>
      <c r="G67" s="5"/>
    </row>
    <row r="68" spans="1:7" x14ac:dyDescent="0.25">
      <c r="B68" t="s">
        <v>204</v>
      </c>
      <c r="C68">
        <v>0.15772870662460567</v>
      </c>
      <c r="E68" s="5"/>
      <c r="F68" s="5"/>
      <c r="G68" s="5"/>
    </row>
    <row r="69" spans="1:7" x14ac:dyDescent="0.25">
      <c r="B69" t="s">
        <v>205</v>
      </c>
      <c r="C69">
        <v>6.3091482649842281E-2</v>
      </c>
      <c r="E69" s="5"/>
      <c r="F69" s="5"/>
      <c r="G69" s="5"/>
    </row>
    <row r="70" spans="1:7" x14ac:dyDescent="0.25">
      <c r="B70" t="s">
        <v>206</v>
      </c>
      <c r="C70">
        <v>0.31545741324921134</v>
      </c>
      <c r="E70" s="5"/>
      <c r="F70" s="5"/>
      <c r="G70" s="5"/>
    </row>
    <row r="71" spans="1:7" x14ac:dyDescent="0.25">
      <c r="B71" t="s">
        <v>207</v>
      </c>
      <c r="C71">
        <v>6.3091482649842281E-2</v>
      </c>
      <c r="E71" s="5"/>
      <c r="F71" s="5"/>
      <c r="G71" s="5"/>
    </row>
    <row r="72" spans="1:7" x14ac:dyDescent="0.25">
      <c r="B72" t="s">
        <v>208</v>
      </c>
      <c r="C72">
        <v>0.1892744479495268</v>
      </c>
      <c r="E72" s="5"/>
      <c r="F72" s="5"/>
      <c r="G72" s="5"/>
    </row>
    <row r="73" spans="1:7" x14ac:dyDescent="0.25">
      <c r="B73" t="s">
        <v>194</v>
      </c>
      <c r="C73">
        <v>2.2082018927444796E-2</v>
      </c>
      <c r="E73" s="5"/>
      <c r="F73" s="5"/>
      <c r="G73" s="5"/>
    </row>
    <row r="74" spans="1:7" x14ac:dyDescent="0.25">
      <c r="B74" t="s">
        <v>209</v>
      </c>
      <c r="C74">
        <v>6.3091482649842281E-2</v>
      </c>
      <c r="E74" s="5"/>
      <c r="F74" s="5"/>
      <c r="G74" s="5"/>
    </row>
    <row r="75" spans="1:7" x14ac:dyDescent="0.25">
      <c r="B75" t="s">
        <v>195</v>
      </c>
      <c r="C75">
        <v>0.12618296529968456</v>
      </c>
      <c r="G75" s="5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9"/>
  <sheetViews>
    <sheetView workbookViewId="0">
      <selection activeCell="K14" sqref="K14"/>
    </sheetView>
  </sheetViews>
  <sheetFormatPr baseColWidth="10" defaultRowHeight="15" x14ac:dyDescent="0.25"/>
  <cols>
    <col min="1" max="1" width="2" customWidth="1"/>
    <col min="2" max="2" width="23.140625" customWidth="1"/>
    <col min="3" max="3" width="6.85546875" customWidth="1"/>
    <col min="4" max="4" width="4.140625" customWidth="1"/>
    <col min="5" max="5" width="9.140625" customWidth="1"/>
    <col min="6" max="6" width="8.7109375" customWidth="1"/>
  </cols>
  <sheetData>
    <row r="1" spans="1:7" x14ac:dyDescent="0.25">
      <c r="E1" s="2"/>
      <c r="F1" s="2"/>
      <c r="G1" s="2"/>
    </row>
    <row r="2" spans="1:7" x14ac:dyDescent="0.25">
      <c r="C2" t="s">
        <v>16</v>
      </c>
      <c r="E2" s="2"/>
      <c r="F2" s="2"/>
      <c r="G2" s="2"/>
    </row>
    <row r="3" spans="1:7" x14ac:dyDescent="0.25">
      <c r="A3" s="3" t="s">
        <v>52</v>
      </c>
      <c r="B3" s="3"/>
      <c r="C3" s="1" t="s">
        <v>56</v>
      </c>
      <c r="D3" t="s">
        <v>53</v>
      </c>
      <c r="E3" s="24"/>
      <c r="F3" s="5"/>
      <c r="G3" s="5"/>
    </row>
    <row r="4" spans="1:7" x14ac:dyDescent="0.25">
      <c r="B4" t="s">
        <v>54</v>
      </c>
      <c r="C4">
        <v>1.5</v>
      </c>
      <c r="D4" t="s">
        <v>6</v>
      </c>
      <c r="E4" s="6"/>
      <c r="F4" s="5"/>
      <c r="G4" s="5"/>
    </row>
    <row r="5" spans="1:7" x14ac:dyDescent="0.25">
      <c r="B5" t="s">
        <v>55</v>
      </c>
      <c r="C5">
        <v>0.25</v>
      </c>
      <c r="D5" t="s">
        <v>6</v>
      </c>
      <c r="E5" s="5"/>
      <c r="F5" s="5"/>
      <c r="G5" s="5"/>
    </row>
    <row r="6" spans="1:7" x14ac:dyDescent="0.25">
      <c r="B6" t="s">
        <v>40</v>
      </c>
      <c r="C6">
        <v>0.5</v>
      </c>
      <c r="D6" t="s">
        <v>6</v>
      </c>
      <c r="E6" s="5"/>
      <c r="F6" s="5"/>
      <c r="G6" s="5"/>
    </row>
    <row r="7" spans="1:7" x14ac:dyDescent="0.25">
      <c r="B7" t="s">
        <v>31</v>
      </c>
      <c r="C7">
        <v>5</v>
      </c>
      <c r="D7" t="s">
        <v>38</v>
      </c>
      <c r="E7" s="5"/>
      <c r="F7" s="5"/>
      <c r="G7" s="5"/>
    </row>
    <row r="8" spans="1:7" x14ac:dyDescent="0.25">
      <c r="B8" t="s">
        <v>8</v>
      </c>
      <c r="C8">
        <v>0.14000000000000001</v>
      </c>
      <c r="D8" t="s">
        <v>6</v>
      </c>
      <c r="E8" s="5"/>
      <c r="F8" s="5"/>
      <c r="G8" s="5"/>
    </row>
    <row r="9" spans="1:7" x14ac:dyDescent="0.25">
      <c r="B9" t="s">
        <v>33</v>
      </c>
      <c r="C9">
        <v>0</v>
      </c>
      <c r="D9" t="s">
        <v>38</v>
      </c>
      <c r="E9" s="5"/>
      <c r="F9" s="5"/>
      <c r="G9" s="5"/>
    </row>
    <row r="10" spans="1:7" x14ac:dyDescent="0.25">
      <c r="B10" t="s">
        <v>34</v>
      </c>
      <c r="C10">
        <v>4.4999999999999997E-3</v>
      </c>
      <c r="D10" t="s">
        <v>15</v>
      </c>
      <c r="E10" s="5"/>
      <c r="F10" s="5"/>
      <c r="G10" s="5"/>
    </row>
    <row r="11" spans="1:7" x14ac:dyDescent="0.25">
      <c r="B11" t="s">
        <v>41</v>
      </c>
      <c r="C11">
        <v>2.0000000000000001E-4</v>
      </c>
      <c r="D11" t="s">
        <v>15</v>
      </c>
      <c r="E11" s="5"/>
      <c r="F11" s="5"/>
      <c r="G11" s="5"/>
    </row>
    <row r="13" spans="1:7" x14ac:dyDescent="0.25">
      <c r="A13" t="s">
        <v>243</v>
      </c>
      <c r="D13" t="s">
        <v>249</v>
      </c>
      <c r="E13" s="38"/>
      <c r="G13" s="5"/>
    </row>
    <row r="14" spans="1:7" x14ac:dyDescent="0.25">
      <c r="B14" t="s">
        <v>54</v>
      </c>
      <c r="C14">
        <v>0</v>
      </c>
      <c r="D14" t="s">
        <v>6</v>
      </c>
    </row>
    <row r="15" spans="1:7" x14ac:dyDescent="0.25">
      <c r="B15" t="s">
        <v>244</v>
      </c>
      <c r="C15">
        <v>0.57999999999999996</v>
      </c>
      <c r="D15" t="s">
        <v>6</v>
      </c>
    </row>
    <row r="16" spans="1:7" x14ac:dyDescent="0.25">
      <c r="B16" t="s">
        <v>48</v>
      </c>
      <c r="C16">
        <v>0.57999999999999996</v>
      </c>
      <c r="D16" t="s">
        <v>6</v>
      </c>
    </row>
    <row r="17" spans="1:4" x14ac:dyDescent="0.25">
      <c r="B17" t="s">
        <v>28</v>
      </c>
      <c r="C17">
        <v>0.72</v>
      </c>
      <c r="D17" t="s">
        <v>6</v>
      </c>
    </row>
    <row r="18" spans="1:4" x14ac:dyDescent="0.25">
      <c r="B18" t="s">
        <v>250</v>
      </c>
      <c r="C18">
        <v>0.44</v>
      </c>
      <c r="D18" t="s">
        <v>6</v>
      </c>
    </row>
    <row r="19" spans="1:4" x14ac:dyDescent="0.25">
      <c r="B19" t="s">
        <v>251</v>
      </c>
      <c r="C19">
        <v>0.57999999999999996</v>
      </c>
      <c r="D19" t="s">
        <v>6</v>
      </c>
    </row>
    <row r="20" spans="1:4" x14ac:dyDescent="0.25">
      <c r="B20" t="s">
        <v>221</v>
      </c>
      <c r="C20">
        <v>0.27</v>
      </c>
      <c r="D20" t="s">
        <v>6</v>
      </c>
    </row>
    <row r="21" spans="1:4" x14ac:dyDescent="0.25">
      <c r="B21" t="s">
        <v>40</v>
      </c>
      <c r="C21">
        <v>0.15</v>
      </c>
      <c r="D21" t="s">
        <v>6</v>
      </c>
    </row>
    <row r="22" spans="1:4" x14ac:dyDescent="0.25">
      <c r="B22" t="s">
        <v>31</v>
      </c>
      <c r="C22">
        <v>8</v>
      </c>
      <c r="D22" t="s">
        <v>38</v>
      </c>
    </row>
    <row r="23" spans="1:4" x14ac:dyDescent="0.25">
      <c r="B23" t="s">
        <v>8</v>
      </c>
      <c r="C23">
        <v>0.12</v>
      </c>
      <c r="D23" t="s">
        <v>6</v>
      </c>
    </row>
    <row r="24" spans="1:4" x14ac:dyDescent="0.25">
      <c r="B24" t="s">
        <v>245</v>
      </c>
      <c r="C24">
        <v>6.0000000000000001E-3</v>
      </c>
      <c r="D24" t="s">
        <v>15</v>
      </c>
    </row>
    <row r="25" spans="1:4" x14ac:dyDescent="0.25">
      <c r="B25" t="s">
        <v>191</v>
      </c>
      <c r="C25">
        <v>0.17</v>
      </c>
    </row>
    <row r="26" spans="1:4" x14ac:dyDescent="0.25">
      <c r="B26" t="s">
        <v>252</v>
      </c>
      <c r="C26">
        <v>1</v>
      </c>
    </row>
    <row r="28" spans="1:4" x14ac:dyDescent="0.25">
      <c r="A28" t="s">
        <v>250</v>
      </c>
      <c r="C28">
        <f>+G18</f>
        <v>0</v>
      </c>
    </row>
    <row r="29" spans="1:4" x14ac:dyDescent="0.25">
      <c r="B29" t="s">
        <v>253</v>
      </c>
      <c r="C29">
        <v>1.3</v>
      </c>
    </row>
    <row r="30" spans="1:4" x14ac:dyDescent="0.25">
      <c r="B30" t="s">
        <v>277</v>
      </c>
      <c r="C30">
        <v>0.16</v>
      </c>
    </row>
    <row r="31" spans="1:4" x14ac:dyDescent="0.25">
      <c r="B31" t="s">
        <v>40</v>
      </c>
      <c r="C31">
        <v>0</v>
      </c>
    </row>
    <row r="33" spans="1:5" x14ac:dyDescent="0.25">
      <c r="A33" t="s">
        <v>281</v>
      </c>
      <c r="D33" t="s">
        <v>276</v>
      </c>
      <c r="E33" s="46"/>
    </row>
    <row r="34" spans="1:5" x14ac:dyDescent="0.25">
      <c r="B34" t="s">
        <v>8</v>
      </c>
      <c r="D34" t="s">
        <v>219</v>
      </c>
    </row>
    <row r="35" spans="1:5" x14ac:dyDescent="0.25">
      <c r="B35" t="s">
        <v>31</v>
      </c>
      <c r="D35" t="s">
        <v>219</v>
      </c>
    </row>
    <row r="36" spans="1:5" x14ac:dyDescent="0.25">
      <c r="B36" t="s">
        <v>274</v>
      </c>
      <c r="D36" t="s">
        <v>6</v>
      </c>
    </row>
    <row r="37" spans="1:5" x14ac:dyDescent="0.25">
      <c r="B37" t="s">
        <v>245</v>
      </c>
      <c r="D37" t="s">
        <v>15</v>
      </c>
    </row>
    <row r="38" spans="1:5" x14ac:dyDescent="0.25">
      <c r="B38" t="s">
        <v>271</v>
      </c>
      <c r="D38" t="s">
        <v>15</v>
      </c>
    </row>
    <row r="39" spans="1:5" x14ac:dyDescent="0.25">
      <c r="B39" t="s">
        <v>272</v>
      </c>
      <c r="D39" t="s">
        <v>6</v>
      </c>
    </row>
    <row r="41" spans="1:5" x14ac:dyDescent="0.25">
      <c r="A41" t="s">
        <v>254</v>
      </c>
      <c r="C41" s="46">
        <f>+G39</f>
        <v>0</v>
      </c>
    </row>
    <row r="42" spans="1:5" x14ac:dyDescent="0.25">
      <c r="B42" t="s">
        <v>255</v>
      </c>
      <c r="C42">
        <v>0.97</v>
      </c>
    </row>
    <row r="43" spans="1:5" x14ac:dyDescent="0.25">
      <c r="B43" t="s">
        <v>256</v>
      </c>
      <c r="C43">
        <v>0.05</v>
      </c>
    </row>
    <row r="44" spans="1:5" x14ac:dyDescent="0.25">
      <c r="B44" t="s">
        <v>21</v>
      </c>
      <c r="C44">
        <v>8.0000000000000002E-3</v>
      </c>
    </row>
    <row r="45" spans="1:5" x14ac:dyDescent="0.25">
      <c r="B45" t="s">
        <v>191</v>
      </c>
      <c r="C45">
        <v>0.26</v>
      </c>
    </row>
    <row r="47" spans="1:5" x14ac:dyDescent="0.25">
      <c r="A47" t="s">
        <v>283</v>
      </c>
      <c r="C47" s="28">
        <v>0</v>
      </c>
    </row>
    <row r="48" spans="1:5" x14ac:dyDescent="0.25">
      <c r="B48" t="s">
        <v>284</v>
      </c>
      <c r="C48">
        <v>1</v>
      </c>
    </row>
    <row r="49" spans="2:3" x14ac:dyDescent="0.25">
      <c r="B49" t="s">
        <v>294</v>
      </c>
      <c r="C49">
        <v>1</v>
      </c>
    </row>
    <row r="50" spans="2:3" x14ac:dyDescent="0.25">
      <c r="B50" t="s">
        <v>285</v>
      </c>
      <c r="C50">
        <f>1/6</f>
        <v>0.16666666666666666</v>
      </c>
    </row>
    <row r="51" spans="2:3" x14ac:dyDescent="0.25">
      <c r="B51" t="s">
        <v>244</v>
      </c>
      <c r="C51">
        <v>1</v>
      </c>
    </row>
    <row r="52" spans="2:3" x14ac:dyDescent="0.25">
      <c r="B52" t="s">
        <v>52</v>
      </c>
      <c r="C52">
        <v>1</v>
      </c>
    </row>
    <row r="53" spans="2:3" x14ac:dyDescent="0.25">
      <c r="B53" t="s">
        <v>287</v>
      </c>
      <c r="C53">
        <v>1</v>
      </c>
    </row>
    <row r="54" spans="2:3" x14ac:dyDescent="0.25">
      <c r="B54" t="s">
        <v>286</v>
      </c>
      <c r="C54">
        <v>1</v>
      </c>
    </row>
    <row r="55" spans="2:3" x14ac:dyDescent="0.25">
      <c r="B55" t="s">
        <v>288</v>
      </c>
      <c r="C55">
        <v>2</v>
      </c>
    </row>
    <row r="56" spans="2:3" x14ac:dyDescent="0.25">
      <c r="B56" t="s">
        <v>289</v>
      </c>
      <c r="C56">
        <v>1</v>
      </c>
    </row>
    <row r="57" spans="2:3" x14ac:dyDescent="0.25">
      <c r="B57" t="s">
        <v>187</v>
      </c>
      <c r="C57">
        <v>1</v>
      </c>
    </row>
    <row r="58" spans="2:3" x14ac:dyDescent="0.25">
      <c r="B58" t="s">
        <v>290</v>
      </c>
      <c r="C58">
        <v>2</v>
      </c>
    </row>
    <row r="59" spans="2:3" x14ac:dyDescent="0.25">
      <c r="B59" t="s">
        <v>291</v>
      </c>
      <c r="C59">
        <v>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4"/>
  <sheetViews>
    <sheetView topLeftCell="A25" workbookViewId="0">
      <selection activeCell="E25" sqref="E25:K46"/>
    </sheetView>
  </sheetViews>
  <sheetFormatPr baseColWidth="10" defaultRowHeight="15" x14ac:dyDescent="0.25"/>
  <cols>
    <col min="1" max="1" width="2" customWidth="1"/>
    <col min="2" max="2" width="23.140625" customWidth="1"/>
    <col min="3" max="3" width="6.85546875" customWidth="1"/>
    <col min="4" max="4" width="4.140625" customWidth="1"/>
    <col min="5" max="5" width="9.140625" customWidth="1"/>
    <col min="6" max="6" width="8.7109375" customWidth="1"/>
    <col min="8" max="8" width="12.5703125" customWidth="1"/>
    <col min="9" max="9" width="24.5703125" customWidth="1"/>
  </cols>
  <sheetData>
    <row r="1" spans="1:11" x14ac:dyDescent="0.25">
      <c r="E1" s="2" t="s">
        <v>1</v>
      </c>
      <c r="F1" s="2" t="s">
        <v>2</v>
      </c>
      <c r="G1" s="2" t="s">
        <v>1</v>
      </c>
    </row>
    <row r="2" spans="1:11" x14ac:dyDescent="0.25">
      <c r="C2" t="s">
        <v>16</v>
      </c>
      <c r="E2" s="2"/>
      <c r="F2" s="2" t="s">
        <v>3</v>
      </c>
      <c r="G2" s="2" t="s">
        <v>4</v>
      </c>
      <c r="K2" s="14" t="s">
        <v>128</v>
      </c>
    </row>
    <row r="3" spans="1:11" x14ac:dyDescent="0.25">
      <c r="A3" s="3" t="s">
        <v>57</v>
      </c>
      <c r="B3" s="3"/>
      <c r="C3" s="1" t="s">
        <v>58</v>
      </c>
      <c r="D3" t="s">
        <v>59</v>
      </c>
      <c r="E3" s="24">
        <v>100</v>
      </c>
      <c r="F3" s="5">
        <v>37</v>
      </c>
      <c r="G3" s="5">
        <f>+ROUND(E3/I3,0)*I3</f>
        <v>99</v>
      </c>
      <c r="I3">
        <v>16.5</v>
      </c>
      <c r="J3" t="s">
        <v>144</v>
      </c>
      <c r="K3">
        <f>+E3/I3</f>
        <v>6.0606060606060606</v>
      </c>
    </row>
    <row r="4" spans="1:11" x14ac:dyDescent="0.25">
      <c r="B4" t="s">
        <v>60</v>
      </c>
      <c r="C4">
        <v>4.5999999999999996</v>
      </c>
      <c r="D4" t="s">
        <v>6</v>
      </c>
      <c r="E4" s="6"/>
      <c r="F4" s="41"/>
      <c r="G4" s="5">
        <f>+C4*G$3-F4</f>
        <v>455.4</v>
      </c>
      <c r="K4">
        <f>+IF(K3=0,0,INT(K3)+1)</f>
        <v>7</v>
      </c>
    </row>
    <row r="5" spans="1:11" x14ac:dyDescent="0.25">
      <c r="B5" t="s">
        <v>61</v>
      </c>
      <c r="C5">
        <v>0.25</v>
      </c>
      <c r="D5" t="s">
        <v>6</v>
      </c>
      <c r="E5" s="5"/>
      <c r="F5" s="5"/>
      <c r="G5" s="5">
        <f t="shared" ref="G5:G10" si="0">+C5*G$3-F5</f>
        <v>24.75</v>
      </c>
    </row>
    <row r="6" spans="1:11" x14ac:dyDescent="0.25">
      <c r="B6" t="s">
        <v>62</v>
      </c>
      <c r="C6">
        <v>0.15</v>
      </c>
      <c r="D6" t="s">
        <v>6</v>
      </c>
      <c r="E6" s="5"/>
      <c r="F6" s="5"/>
      <c r="G6" s="5">
        <f t="shared" si="0"/>
        <v>14.85</v>
      </c>
    </row>
    <row r="7" spans="1:11" x14ac:dyDescent="0.25">
      <c r="B7" t="s">
        <v>63</v>
      </c>
      <c r="C7">
        <v>1</v>
      </c>
      <c r="D7" t="s">
        <v>38</v>
      </c>
      <c r="E7" s="5"/>
      <c r="F7" s="5"/>
      <c r="G7" s="5">
        <f t="shared" si="0"/>
        <v>99</v>
      </c>
    </row>
    <row r="8" spans="1:11" x14ac:dyDescent="0.25">
      <c r="B8" t="s">
        <v>64</v>
      </c>
      <c r="C8">
        <v>0.85</v>
      </c>
      <c r="D8" t="s">
        <v>6</v>
      </c>
      <c r="E8" s="5"/>
      <c r="F8" s="5">
        <v>0</v>
      </c>
      <c r="G8" s="5">
        <f t="shared" si="0"/>
        <v>84.149999999999991</v>
      </c>
    </row>
    <row r="9" spans="1:11" x14ac:dyDescent="0.25">
      <c r="B9" t="s">
        <v>65</v>
      </c>
      <c r="C9">
        <v>2.0299999999999998</v>
      </c>
      <c r="D9" t="s">
        <v>6</v>
      </c>
      <c r="E9" s="5"/>
      <c r="F9" s="41"/>
      <c r="G9" s="5">
        <f t="shared" si="0"/>
        <v>200.96999999999997</v>
      </c>
    </row>
    <row r="10" spans="1:11" x14ac:dyDescent="0.25">
      <c r="B10" t="s">
        <v>35</v>
      </c>
      <c r="C10">
        <v>6.0000000000000001E-3</v>
      </c>
      <c r="D10" t="s">
        <v>6</v>
      </c>
      <c r="E10" s="5"/>
      <c r="F10" s="5"/>
      <c r="G10" s="5">
        <f t="shared" si="0"/>
        <v>0.59399999999999997</v>
      </c>
    </row>
    <row r="11" spans="1:11" x14ac:dyDescent="0.25">
      <c r="E11" s="5"/>
      <c r="F11" s="5"/>
      <c r="G11" s="5"/>
    </row>
    <row r="12" spans="1:11" x14ac:dyDescent="0.25">
      <c r="E12" s="5"/>
      <c r="F12" s="5"/>
      <c r="G12" s="39" t="s">
        <v>270</v>
      </c>
    </row>
    <row r="13" spans="1:11" x14ac:dyDescent="0.25">
      <c r="A13" s="3" t="s">
        <v>60</v>
      </c>
      <c r="E13" s="5"/>
      <c r="G13" s="40">
        <v>0</v>
      </c>
    </row>
    <row r="14" spans="1:11" x14ac:dyDescent="0.25">
      <c r="B14" t="s">
        <v>69</v>
      </c>
      <c r="C14">
        <v>22.5</v>
      </c>
      <c r="D14" t="s">
        <v>6</v>
      </c>
      <c r="E14" s="5"/>
      <c r="F14" s="5"/>
      <c r="G14" s="5">
        <f>+C14*$G$13</f>
        <v>0</v>
      </c>
      <c r="I14" s="26" t="s">
        <v>103</v>
      </c>
      <c r="J14" s="5">
        <f>+G19</f>
        <v>0</v>
      </c>
    </row>
    <row r="15" spans="1:11" x14ac:dyDescent="0.25">
      <c r="B15" t="s">
        <v>70</v>
      </c>
      <c r="C15">
        <v>1</v>
      </c>
      <c r="D15" t="s">
        <v>6</v>
      </c>
      <c r="E15" s="5"/>
      <c r="F15" s="5"/>
      <c r="G15" s="5">
        <f t="shared" ref="G15:G24" si="1">+C15*$G$13</f>
        <v>0</v>
      </c>
      <c r="I15" s="26" t="s">
        <v>171</v>
      </c>
      <c r="J15" s="5">
        <f>+G14+G27+G39</f>
        <v>0</v>
      </c>
    </row>
    <row r="16" spans="1:11" x14ac:dyDescent="0.25">
      <c r="B16" t="s">
        <v>71</v>
      </c>
      <c r="C16">
        <v>0</v>
      </c>
      <c r="D16" t="s">
        <v>6</v>
      </c>
      <c r="E16" s="5"/>
      <c r="F16" s="5"/>
      <c r="G16" s="5">
        <f t="shared" si="1"/>
        <v>0</v>
      </c>
      <c r="I16" s="26" t="s">
        <v>172</v>
      </c>
    </row>
    <row r="17" spans="1:10" x14ac:dyDescent="0.25">
      <c r="B17" t="s">
        <v>72</v>
      </c>
      <c r="C17">
        <v>3.6</v>
      </c>
      <c r="D17" t="s">
        <v>6</v>
      </c>
      <c r="E17" s="5"/>
      <c r="F17" s="5"/>
      <c r="G17" s="5">
        <f t="shared" si="1"/>
        <v>0</v>
      </c>
      <c r="I17" s="26" t="s">
        <v>166</v>
      </c>
      <c r="J17" s="5">
        <f>+G21</f>
        <v>0</v>
      </c>
    </row>
    <row r="18" spans="1:10" x14ac:dyDescent="0.25">
      <c r="B18" t="s">
        <v>22</v>
      </c>
      <c r="C18">
        <v>0.48</v>
      </c>
      <c r="D18" t="s">
        <v>6</v>
      </c>
      <c r="E18" s="5"/>
      <c r="F18" s="5"/>
      <c r="G18" s="5">
        <f t="shared" si="1"/>
        <v>0</v>
      </c>
      <c r="I18" s="26" t="s">
        <v>105</v>
      </c>
      <c r="J18" s="5">
        <f>+G20+G33</f>
        <v>0</v>
      </c>
    </row>
    <row r="19" spans="1:10" x14ac:dyDescent="0.25">
      <c r="B19" t="s">
        <v>73</v>
      </c>
      <c r="C19">
        <v>75</v>
      </c>
      <c r="D19" t="s">
        <v>6</v>
      </c>
      <c r="E19" s="5"/>
      <c r="F19" s="5"/>
      <c r="G19" s="5">
        <f t="shared" si="1"/>
        <v>0</v>
      </c>
      <c r="I19" s="27" t="s">
        <v>213</v>
      </c>
      <c r="J19">
        <v>0</v>
      </c>
    </row>
    <row r="20" spans="1:10" x14ac:dyDescent="0.25">
      <c r="B20" t="s">
        <v>74</v>
      </c>
      <c r="C20">
        <v>0.38</v>
      </c>
      <c r="D20" t="s">
        <v>6</v>
      </c>
      <c r="E20" s="5"/>
      <c r="F20" s="5"/>
      <c r="G20" s="5">
        <f t="shared" si="1"/>
        <v>0</v>
      </c>
      <c r="I20" s="26" t="s">
        <v>175</v>
      </c>
      <c r="J20">
        <v>0</v>
      </c>
    </row>
    <row r="21" spans="1:10" x14ac:dyDescent="0.25">
      <c r="B21" t="s">
        <v>88</v>
      </c>
      <c r="C21">
        <v>16.5</v>
      </c>
      <c r="D21" t="s">
        <v>6</v>
      </c>
      <c r="E21" s="5"/>
      <c r="F21" s="5"/>
      <c r="G21" s="5">
        <f t="shared" si="1"/>
        <v>0</v>
      </c>
      <c r="I21" s="26" t="s">
        <v>137</v>
      </c>
      <c r="J21" s="5">
        <f>+G22</f>
        <v>0</v>
      </c>
    </row>
    <row r="22" spans="1:10" x14ac:dyDescent="0.25">
      <c r="B22" t="s">
        <v>75</v>
      </c>
      <c r="C22">
        <v>1</v>
      </c>
      <c r="D22" t="s">
        <v>6</v>
      </c>
      <c r="E22" s="5"/>
      <c r="F22" s="5"/>
      <c r="G22" s="5">
        <f t="shared" si="1"/>
        <v>0</v>
      </c>
      <c r="I22" s="26" t="s">
        <v>84</v>
      </c>
      <c r="J22" s="5">
        <f>+G15</f>
        <v>0</v>
      </c>
    </row>
    <row r="23" spans="1:10" x14ac:dyDescent="0.25">
      <c r="B23" t="s">
        <v>106</v>
      </c>
      <c r="C23">
        <v>0.23</v>
      </c>
      <c r="D23" t="s">
        <v>6</v>
      </c>
      <c r="E23" s="5"/>
      <c r="F23" s="5"/>
      <c r="G23" s="5">
        <f t="shared" si="1"/>
        <v>0</v>
      </c>
      <c r="I23" s="26" t="s">
        <v>21</v>
      </c>
      <c r="J23" s="5">
        <f>+G24</f>
        <v>0</v>
      </c>
    </row>
    <row r="24" spans="1:10" x14ac:dyDescent="0.25">
      <c r="B24" t="s">
        <v>21</v>
      </c>
      <c r="C24">
        <v>0.74</v>
      </c>
      <c r="D24" t="s">
        <v>6</v>
      </c>
      <c r="E24" s="5"/>
      <c r="F24" s="5"/>
      <c r="G24" s="5">
        <f t="shared" si="1"/>
        <v>0</v>
      </c>
      <c r="I24" s="7" t="s">
        <v>179</v>
      </c>
      <c r="J24">
        <v>0</v>
      </c>
    </row>
    <row r="25" spans="1:10" x14ac:dyDescent="0.25">
      <c r="E25" s="5"/>
      <c r="F25" s="5"/>
      <c r="G25" s="39"/>
      <c r="I25" s="7"/>
      <c r="J25" s="5"/>
    </row>
    <row r="26" spans="1:10" x14ac:dyDescent="0.25">
      <c r="A26" s="3" t="s">
        <v>76</v>
      </c>
      <c r="C26" t="s">
        <v>125</v>
      </c>
      <c r="E26" s="5"/>
      <c r="F26" s="5"/>
      <c r="G26" s="41"/>
      <c r="I26" s="7"/>
    </row>
    <row r="27" spans="1:10" x14ac:dyDescent="0.25">
      <c r="B27" t="s">
        <v>77</v>
      </c>
      <c r="C27">
        <v>212</v>
      </c>
      <c r="D27" t="s">
        <v>6</v>
      </c>
      <c r="E27" s="5"/>
      <c r="F27" s="5"/>
      <c r="G27" s="5"/>
      <c r="I27" s="7"/>
      <c r="J27" s="5"/>
    </row>
    <row r="28" spans="1:10" x14ac:dyDescent="0.25">
      <c r="B28" t="s">
        <v>78</v>
      </c>
      <c r="C28">
        <v>38</v>
      </c>
      <c r="D28" t="s">
        <v>6</v>
      </c>
      <c r="E28" s="5"/>
      <c r="F28" s="5"/>
      <c r="G28" s="5"/>
      <c r="I28" s="7"/>
      <c r="J28" s="5"/>
    </row>
    <row r="29" spans="1:10" x14ac:dyDescent="0.25">
      <c r="B29" t="s">
        <v>79</v>
      </c>
      <c r="C29">
        <v>0.4</v>
      </c>
      <c r="D29" t="s">
        <v>6</v>
      </c>
      <c r="E29" s="5"/>
      <c r="F29" s="5"/>
      <c r="G29" s="5"/>
      <c r="I29" s="7"/>
      <c r="J29" s="5"/>
    </row>
    <row r="30" spans="1:10" x14ac:dyDescent="0.25">
      <c r="B30" t="s">
        <v>80</v>
      </c>
      <c r="C30">
        <v>0.4</v>
      </c>
      <c r="D30" t="s">
        <v>6</v>
      </c>
      <c r="E30" s="5"/>
      <c r="F30" s="5"/>
      <c r="G30" s="5"/>
      <c r="I30" s="7"/>
      <c r="J30" s="5"/>
    </row>
    <row r="31" spans="1:10" x14ac:dyDescent="0.25">
      <c r="B31" t="s">
        <v>83</v>
      </c>
      <c r="C31">
        <v>10</v>
      </c>
      <c r="D31" t="s">
        <v>6</v>
      </c>
      <c r="E31" s="5"/>
      <c r="F31" s="5"/>
      <c r="G31" s="5"/>
      <c r="I31" s="7"/>
      <c r="J31" s="5"/>
    </row>
    <row r="32" spans="1:10" x14ac:dyDescent="0.25">
      <c r="B32" t="s">
        <v>153</v>
      </c>
      <c r="C32">
        <v>12</v>
      </c>
      <c r="D32" t="s">
        <v>6</v>
      </c>
      <c r="E32" s="5"/>
      <c r="F32" s="5"/>
      <c r="G32" s="5"/>
      <c r="J32" s="5"/>
    </row>
    <row r="33" spans="1:10" x14ac:dyDescent="0.25">
      <c r="B33" t="s">
        <v>81</v>
      </c>
      <c r="C33">
        <v>5</v>
      </c>
      <c r="D33" t="s">
        <v>6</v>
      </c>
      <c r="E33" s="5"/>
      <c r="F33" s="5"/>
      <c r="G33" s="5"/>
      <c r="J33" s="5"/>
    </row>
    <row r="34" spans="1:10" x14ac:dyDescent="0.25">
      <c r="B34" t="s">
        <v>154</v>
      </c>
      <c r="C34">
        <v>0</v>
      </c>
      <c r="D34" t="s">
        <v>6</v>
      </c>
      <c r="E34" s="5"/>
      <c r="F34" s="5"/>
      <c r="G34" s="5"/>
      <c r="J34" s="5"/>
    </row>
    <row r="35" spans="1:10" x14ac:dyDescent="0.25">
      <c r="B35" t="s">
        <v>91</v>
      </c>
      <c r="C35">
        <v>230</v>
      </c>
      <c r="D35" t="s">
        <v>6</v>
      </c>
      <c r="E35" s="5"/>
      <c r="F35" s="5"/>
      <c r="G35" s="5"/>
      <c r="J35" s="5"/>
    </row>
    <row r="36" spans="1:10" x14ac:dyDescent="0.25">
      <c r="B36" t="s">
        <v>82</v>
      </c>
      <c r="C36">
        <v>0.86</v>
      </c>
      <c r="D36" t="s">
        <v>6</v>
      </c>
      <c r="E36" s="5"/>
      <c r="F36" s="5"/>
      <c r="G36" s="5"/>
      <c r="J36" s="5"/>
    </row>
    <row r="37" spans="1:10" x14ac:dyDescent="0.25">
      <c r="C37">
        <f>SUM(C27:C36)</f>
        <v>508.66</v>
      </c>
      <c r="G37" s="5"/>
      <c r="J37" s="5"/>
    </row>
    <row r="38" spans="1:10" x14ac:dyDescent="0.25">
      <c r="A38" s="3" t="s">
        <v>64</v>
      </c>
      <c r="C38" t="s">
        <v>126</v>
      </c>
      <c r="G38" s="41"/>
      <c r="J38" s="5"/>
    </row>
    <row r="39" spans="1:10" x14ac:dyDescent="0.25">
      <c r="B39" t="s">
        <v>69</v>
      </c>
      <c r="C39">
        <v>5</v>
      </c>
      <c r="D39" t="s">
        <v>6</v>
      </c>
      <c r="G39" s="5"/>
      <c r="J39" s="5"/>
    </row>
    <row r="40" spans="1:10" x14ac:dyDescent="0.25">
      <c r="B40" t="s">
        <v>142</v>
      </c>
      <c r="C40">
        <v>3.8</v>
      </c>
      <c r="D40" t="s">
        <v>6</v>
      </c>
      <c r="G40" s="5"/>
    </row>
    <row r="41" spans="1:10" x14ac:dyDescent="0.25">
      <c r="B41" t="s">
        <v>124</v>
      </c>
      <c r="C41">
        <v>8.9999999999999993E-3</v>
      </c>
      <c r="D41" t="s">
        <v>6</v>
      </c>
      <c r="G41" s="5"/>
    </row>
    <row r="42" spans="1:10" x14ac:dyDescent="0.25">
      <c r="B42" t="s">
        <v>123</v>
      </c>
      <c r="C42">
        <v>0.01</v>
      </c>
      <c r="D42" t="s">
        <v>6</v>
      </c>
      <c r="G42" s="5"/>
    </row>
    <row r="43" spans="1:10" x14ac:dyDescent="0.25">
      <c r="B43" t="s">
        <v>22</v>
      </c>
      <c r="C43">
        <v>2E-3</v>
      </c>
      <c r="D43" t="s">
        <v>6</v>
      </c>
      <c r="G43" s="5"/>
    </row>
    <row r="44" spans="1:10" x14ac:dyDescent="0.25">
      <c r="C44">
        <f>SUM(C39:C43)</f>
        <v>8.8210000000000015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64"/>
  <sheetViews>
    <sheetView workbookViewId="0">
      <selection activeCell="H8" sqref="H7:H8"/>
    </sheetView>
  </sheetViews>
  <sheetFormatPr baseColWidth="10" defaultRowHeight="15" x14ac:dyDescent="0.25"/>
  <cols>
    <col min="1" max="1" width="2" customWidth="1"/>
    <col min="2" max="2" width="23.140625" customWidth="1"/>
    <col min="3" max="3" width="11.140625" customWidth="1"/>
    <col min="4" max="4" width="4.140625" customWidth="1"/>
    <col min="5" max="5" width="9.140625" customWidth="1"/>
    <col min="6" max="6" width="8.7109375" customWidth="1"/>
  </cols>
  <sheetData>
    <row r="1" spans="1:9" x14ac:dyDescent="0.25">
      <c r="E1" s="2"/>
      <c r="F1" s="2"/>
      <c r="G1" s="2"/>
    </row>
    <row r="2" spans="1:9" x14ac:dyDescent="0.25">
      <c r="C2" t="s">
        <v>16</v>
      </c>
      <c r="E2" s="2"/>
      <c r="F2" s="2"/>
      <c r="G2" s="2"/>
    </row>
    <row r="3" spans="1:9" x14ac:dyDescent="0.25">
      <c r="A3" s="3" t="s">
        <v>268</v>
      </c>
      <c r="B3" s="3"/>
      <c r="C3" s="1" t="s">
        <v>58</v>
      </c>
      <c r="D3" t="s">
        <v>59</v>
      </c>
      <c r="E3" s="24"/>
      <c r="F3" s="5"/>
      <c r="G3" s="5"/>
    </row>
    <row r="4" spans="1:9" x14ac:dyDescent="0.25">
      <c r="B4" t="s">
        <v>101</v>
      </c>
      <c r="C4">
        <v>1.29</v>
      </c>
      <c r="D4" t="s">
        <v>6</v>
      </c>
      <c r="E4" s="6"/>
      <c r="F4" s="5"/>
      <c r="G4" s="5"/>
    </row>
    <row r="5" spans="1:9" x14ac:dyDescent="0.25">
      <c r="B5" t="s">
        <v>102</v>
      </c>
      <c r="C5">
        <v>0</v>
      </c>
      <c r="D5" t="s">
        <v>6</v>
      </c>
      <c r="E5" s="6"/>
      <c r="F5" s="5"/>
      <c r="G5" s="5"/>
    </row>
    <row r="6" spans="1:9" x14ac:dyDescent="0.25">
      <c r="B6" t="s">
        <v>96</v>
      </c>
      <c r="C6">
        <v>5.6000000000000001E-2</v>
      </c>
      <c r="D6" t="s">
        <v>6</v>
      </c>
      <c r="E6" s="5"/>
      <c r="F6" s="5"/>
      <c r="G6" s="5"/>
    </row>
    <row r="7" spans="1:9" x14ac:dyDescent="0.25">
      <c r="B7" t="s">
        <v>97</v>
      </c>
      <c r="C7">
        <v>0</v>
      </c>
      <c r="D7" t="s">
        <v>6</v>
      </c>
      <c r="E7" s="5"/>
      <c r="F7" s="5"/>
      <c r="G7" s="5"/>
    </row>
    <row r="8" spans="1:9" x14ac:dyDescent="0.25">
      <c r="B8" t="s">
        <v>95</v>
      </c>
      <c r="C8">
        <v>1</v>
      </c>
      <c r="D8" t="s">
        <v>38</v>
      </c>
      <c r="E8" s="5"/>
      <c r="F8" s="5"/>
      <c r="G8" s="5"/>
    </row>
    <row r="9" spans="1:9" x14ac:dyDescent="0.25">
      <c r="B9" t="s">
        <v>98</v>
      </c>
      <c r="C9">
        <v>0.1</v>
      </c>
      <c r="D9" t="s">
        <v>6</v>
      </c>
      <c r="E9" s="5"/>
      <c r="F9" s="5"/>
      <c r="G9" s="5"/>
    </row>
    <row r="10" spans="1:9" x14ac:dyDescent="0.25">
      <c r="B10" t="s">
        <v>99</v>
      </c>
      <c r="C10">
        <v>0.25</v>
      </c>
      <c r="D10" t="s">
        <v>6</v>
      </c>
      <c r="E10" s="5"/>
      <c r="F10" s="5"/>
      <c r="G10" s="5"/>
    </row>
    <row r="11" spans="1:9" x14ac:dyDescent="0.25">
      <c r="B11" t="s">
        <v>100</v>
      </c>
      <c r="C11">
        <v>0</v>
      </c>
      <c r="D11" t="s">
        <v>6</v>
      </c>
      <c r="E11" s="5"/>
      <c r="F11" s="5"/>
      <c r="G11" s="5"/>
    </row>
    <row r="12" spans="1:9" x14ac:dyDescent="0.25">
      <c r="B12" t="s">
        <v>35</v>
      </c>
      <c r="C12">
        <v>3.0000000000000001E-3</v>
      </c>
      <c r="D12" t="s">
        <v>15</v>
      </c>
      <c r="E12" s="5"/>
      <c r="F12" s="5"/>
      <c r="G12" s="5"/>
    </row>
    <row r="13" spans="1:9" x14ac:dyDescent="0.25">
      <c r="B13" t="s">
        <v>141</v>
      </c>
      <c r="C13">
        <v>0</v>
      </c>
      <c r="D13" t="s">
        <v>6</v>
      </c>
      <c r="E13" s="5"/>
      <c r="F13" s="5"/>
      <c r="G13" s="5"/>
    </row>
    <row r="14" spans="1:9" x14ac:dyDescent="0.25">
      <c r="E14" s="5"/>
      <c r="F14" s="5"/>
      <c r="G14" s="5"/>
    </row>
    <row r="15" spans="1:9" x14ac:dyDescent="0.25">
      <c r="A15" s="3" t="s">
        <v>94</v>
      </c>
      <c r="E15" s="5"/>
      <c r="F15" s="5"/>
      <c r="G15" s="41"/>
      <c r="H15" s="1"/>
    </row>
    <row r="16" spans="1:9" x14ac:dyDescent="0.25">
      <c r="B16" t="s">
        <v>103</v>
      </c>
      <c r="C16">
        <v>50</v>
      </c>
      <c r="D16" t="s">
        <v>6</v>
      </c>
      <c r="E16" s="5"/>
      <c r="F16" s="5"/>
      <c r="G16" s="5"/>
      <c r="I16" s="5"/>
    </row>
    <row r="17" spans="1:9" x14ac:dyDescent="0.25">
      <c r="B17" t="s">
        <v>69</v>
      </c>
      <c r="C17">
        <f>3.46*4+0.17*0.7*4</f>
        <v>14.315999999999999</v>
      </c>
      <c r="D17" t="s">
        <v>6</v>
      </c>
      <c r="E17" s="5"/>
      <c r="F17" s="5"/>
      <c r="G17" s="5"/>
      <c r="I17" s="5"/>
    </row>
    <row r="18" spans="1:9" x14ac:dyDescent="0.25">
      <c r="B18" t="s">
        <v>88</v>
      </c>
      <c r="C18">
        <f>2.05*4</f>
        <v>8.1999999999999993</v>
      </c>
      <c r="D18" t="s">
        <v>6</v>
      </c>
      <c r="E18" s="5"/>
      <c r="F18" s="5"/>
      <c r="G18" s="5"/>
      <c r="I18" s="5"/>
    </row>
    <row r="19" spans="1:9" x14ac:dyDescent="0.25">
      <c r="B19" t="s">
        <v>104</v>
      </c>
      <c r="C19">
        <v>4.4000000000000004</v>
      </c>
      <c r="D19" t="s">
        <v>6</v>
      </c>
      <c r="E19" s="5"/>
      <c r="F19" s="5"/>
      <c r="G19" s="5"/>
    </row>
    <row r="20" spans="1:9" x14ac:dyDescent="0.25">
      <c r="B20" t="s">
        <v>105</v>
      </c>
      <c r="C20">
        <v>0.92</v>
      </c>
      <c r="D20" t="s">
        <v>6</v>
      </c>
      <c r="E20" s="5"/>
      <c r="F20" s="5"/>
      <c r="G20" s="5"/>
      <c r="I20" s="5"/>
    </row>
    <row r="21" spans="1:9" x14ac:dyDescent="0.25">
      <c r="B21" t="s">
        <v>75</v>
      </c>
      <c r="C21">
        <v>1.8</v>
      </c>
      <c r="D21" t="s">
        <v>6</v>
      </c>
      <c r="E21" s="5"/>
      <c r="F21" s="5"/>
      <c r="G21" s="5"/>
    </row>
    <row r="22" spans="1:9" x14ac:dyDescent="0.25">
      <c r="B22" t="s">
        <v>196</v>
      </c>
      <c r="C22">
        <f>1.2/75*50</f>
        <v>0.8</v>
      </c>
      <c r="D22" t="s">
        <v>6</v>
      </c>
      <c r="E22" s="5"/>
      <c r="F22" s="5"/>
      <c r="G22" s="5"/>
    </row>
    <row r="23" spans="1:9" x14ac:dyDescent="0.25">
      <c r="B23" t="s">
        <v>106</v>
      </c>
      <c r="C23">
        <v>0.6</v>
      </c>
      <c r="D23" t="s">
        <v>6</v>
      </c>
      <c r="E23" s="5"/>
      <c r="F23" s="5"/>
      <c r="G23" s="5"/>
    </row>
    <row r="24" spans="1:9" x14ac:dyDescent="0.25">
      <c r="B24" t="s">
        <v>90</v>
      </c>
      <c r="C24">
        <v>0.9</v>
      </c>
      <c r="D24" t="s">
        <v>6</v>
      </c>
      <c r="E24" s="5"/>
      <c r="F24" s="5"/>
      <c r="G24" s="5"/>
      <c r="I24" s="5"/>
    </row>
    <row r="25" spans="1:9" x14ac:dyDescent="0.25">
      <c r="B25" t="s">
        <v>21</v>
      </c>
      <c r="C25">
        <v>0.1</v>
      </c>
      <c r="D25" t="s">
        <v>6</v>
      </c>
      <c r="E25" s="5"/>
      <c r="F25" s="5"/>
      <c r="G25" s="5"/>
    </row>
    <row r="26" spans="1:9" x14ac:dyDescent="0.25">
      <c r="B26" t="s">
        <v>120</v>
      </c>
      <c r="C26">
        <v>0.28000000000000003</v>
      </c>
      <c r="D26" t="s">
        <v>6</v>
      </c>
      <c r="E26" s="5"/>
      <c r="F26" s="5"/>
      <c r="G26" s="5"/>
    </row>
    <row r="27" spans="1:9" x14ac:dyDescent="0.25">
      <c r="B27" t="s">
        <v>86</v>
      </c>
      <c r="C27">
        <v>6.4000000000000001E-2</v>
      </c>
      <c r="D27" t="s">
        <v>6</v>
      </c>
      <c r="E27" s="5"/>
      <c r="F27" s="5"/>
      <c r="G27" s="5"/>
      <c r="I27" s="5"/>
    </row>
    <row r="28" spans="1:9" x14ac:dyDescent="0.25">
      <c r="E28" s="5"/>
      <c r="F28" s="5"/>
      <c r="G28" s="5"/>
    </row>
    <row r="29" spans="1:9" x14ac:dyDescent="0.25">
      <c r="A29" s="3" t="s">
        <v>107</v>
      </c>
      <c r="C29" t="s">
        <v>127</v>
      </c>
      <c r="E29" s="5"/>
      <c r="F29" s="5"/>
      <c r="G29" s="41"/>
      <c r="H29" s="1"/>
    </row>
    <row r="30" spans="1:9" x14ac:dyDescent="0.25">
      <c r="B30" t="s">
        <v>69</v>
      </c>
      <c r="C30">
        <v>85</v>
      </c>
      <c r="D30" t="s">
        <v>6</v>
      </c>
      <c r="E30" s="5"/>
      <c r="F30" s="5"/>
      <c r="G30" s="5"/>
    </row>
    <row r="31" spans="1:9" x14ac:dyDescent="0.25">
      <c r="B31" t="s">
        <v>89</v>
      </c>
      <c r="C31">
        <v>15</v>
      </c>
      <c r="D31" t="s">
        <v>6</v>
      </c>
      <c r="E31" s="5"/>
      <c r="F31" s="5"/>
      <c r="G31" s="5"/>
      <c r="I31" s="5"/>
    </row>
    <row r="32" spans="1:9" x14ac:dyDescent="0.25">
      <c r="B32" t="s">
        <v>85</v>
      </c>
      <c r="C32">
        <v>0.16</v>
      </c>
      <c r="D32" t="s">
        <v>6</v>
      </c>
      <c r="E32" s="5"/>
      <c r="F32" s="5"/>
      <c r="G32" s="5"/>
    </row>
    <row r="33" spans="1:9" x14ac:dyDescent="0.25">
      <c r="B33" t="s">
        <v>86</v>
      </c>
      <c r="C33">
        <v>0.16</v>
      </c>
      <c r="D33" t="s">
        <v>6</v>
      </c>
      <c r="E33" s="5"/>
      <c r="F33" s="5"/>
      <c r="G33" s="5"/>
    </row>
    <row r="34" spans="1:9" x14ac:dyDescent="0.25">
      <c r="B34" t="s">
        <v>90</v>
      </c>
      <c r="C34">
        <v>4</v>
      </c>
      <c r="D34" t="s">
        <v>6</v>
      </c>
      <c r="E34" s="5"/>
      <c r="F34" s="5"/>
      <c r="G34" s="5"/>
    </row>
    <row r="35" spans="1:9" x14ac:dyDescent="0.25">
      <c r="B35" t="s">
        <v>108</v>
      </c>
      <c r="C35">
        <v>5</v>
      </c>
      <c r="D35" t="s">
        <v>6</v>
      </c>
      <c r="E35" s="5"/>
      <c r="F35" s="5"/>
      <c r="G35" s="5"/>
    </row>
    <row r="36" spans="1:9" x14ac:dyDescent="0.25">
      <c r="B36" t="s">
        <v>105</v>
      </c>
      <c r="C36">
        <v>0.18</v>
      </c>
      <c r="D36" t="s">
        <v>6</v>
      </c>
      <c r="E36" s="5"/>
      <c r="F36" s="5"/>
      <c r="G36" s="5"/>
    </row>
    <row r="37" spans="1:9" x14ac:dyDescent="0.25">
      <c r="B37" t="s">
        <v>91</v>
      </c>
      <c r="C37">
        <v>92</v>
      </c>
      <c r="D37" t="s">
        <v>6</v>
      </c>
      <c r="E37" s="5"/>
      <c r="F37" s="5"/>
      <c r="G37" s="5"/>
      <c r="I37" s="5"/>
    </row>
    <row r="38" spans="1:9" x14ac:dyDescent="0.25">
      <c r="B38" t="s">
        <v>155</v>
      </c>
      <c r="C38">
        <v>0</v>
      </c>
      <c r="D38" t="s">
        <v>6</v>
      </c>
      <c r="E38" s="5"/>
      <c r="F38" s="5"/>
      <c r="G38" s="5"/>
      <c r="I38" s="5"/>
    </row>
    <row r="39" spans="1:9" x14ac:dyDescent="0.25">
      <c r="B39" t="s">
        <v>82</v>
      </c>
      <c r="C39">
        <v>0.35</v>
      </c>
      <c r="D39" t="s">
        <v>6</v>
      </c>
      <c r="E39" s="5"/>
      <c r="F39" s="5"/>
      <c r="G39" s="5"/>
    </row>
    <row r="40" spans="1:9" x14ac:dyDescent="0.25">
      <c r="C40">
        <f>SUM(C30:C39)</f>
        <v>201.85</v>
      </c>
    </row>
    <row r="41" spans="1:9" x14ac:dyDescent="0.25">
      <c r="A41" s="3" t="s">
        <v>112</v>
      </c>
      <c r="C41" t="s">
        <v>127</v>
      </c>
      <c r="G41" s="5"/>
    </row>
    <row r="42" spans="1:9" x14ac:dyDescent="0.25">
      <c r="B42" t="s">
        <v>69</v>
      </c>
      <c r="C42">
        <v>70</v>
      </c>
      <c r="G42" s="5"/>
    </row>
    <row r="43" spans="1:9" x14ac:dyDescent="0.25">
      <c r="B43" t="s">
        <v>108</v>
      </c>
      <c r="C43">
        <v>8</v>
      </c>
      <c r="G43" s="5"/>
    </row>
    <row r="44" spans="1:9" x14ac:dyDescent="0.25">
      <c r="B44" t="s">
        <v>90</v>
      </c>
      <c r="C44">
        <v>2.5</v>
      </c>
      <c r="G44" s="5"/>
    </row>
    <row r="45" spans="1:9" x14ac:dyDescent="0.25">
      <c r="B45" t="s">
        <v>109</v>
      </c>
      <c r="C45">
        <v>0.18</v>
      </c>
      <c r="G45" s="5"/>
    </row>
    <row r="46" spans="1:9" x14ac:dyDescent="0.25">
      <c r="B46" t="s">
        <v>155</v>
      </c>
      <c r="C46">
        <v>50</v>
      </c>
      <c r="G46" s="5"/>
    </row>
    <row r="47" spans="1:9" x14ac:dyDescent="0.25">
      <c r="B47" t="s">
        <v>159</v>
      </c>
      <c r="C47">
        <v>33</v>
      </c>
      <c r="G47" s="5"/>
    </row>
    <row r="48" spans="1:9" x14ac:dyDescent="0.25">
      <c r="B48" t="s">
        <v>85</v>
      </c>
      <c r="C48">
        <v>0.25</v>
      </c>
      <c r="G48" s="5"/>
    </row>
    <row r="49" spans="1:8" x14ac:dyDescent="0.25">
      <c r="B49" t="s">
        <v>110</v>
      </c>
      <c r="C49">
        <v>0.4</v>
      </c>
      <c r="G49" s="5"/>
    </row>
    <row r="50" spans="1:8" x14ac:dyDescent="0.25">
      <c r="B50" t="s">
        <v>82</v>
      </c>
      <c r="C50">
        <v>0.22</v>
      </c>
      <c r="G50" s="5"/>
    </row>
    <row r="51" spans="1:8" x14ac:dyDescent="0.25">
      <c r="B51" t="s">
        <v>111</v>
      </c>
      <c r="C51">
        <v>0.33</v>
      </c>
      <c r="G51" s="5"/>
    </row>
    <row r="52" spans="1:8" x14ac:dyDescent="0.25">
      <c r="C52">
        <f>SUM(C42:C51)</f>
        <v>164.88000000000002</v>
      </c>
      <c r="G52" s="5"/>
    </row>
    <row r="53" spans="1:8" x14ac:dyDescent="0.25">
      <c r="A53" s="3" t="s">
        <v>98</v>
      </c>
      <c r="G53" s="41"/>
      <c r="H53" s="1"/>
    </row>
    <row r="54" spans="1:8" x14ac:dyDescent="0.25">
      <c r="B54" t="s">
        <v>113</v>
      </c>
      <c r="C54">
        <v>13</v>
      </c>
      <c r="G54" s="5"/>
    </row>
    <row r="55" spans="1:8" x14ac:dyDescent="0.25">
      <c r="B55" t="s">
        <v>142</v>
      </c>
      <c r="C55">
        <v>4</v>
      </c>
      <c r="G55" s="5"/>
    </row>
    <row r="56" spans="1:8" x14ac:dyDescent="0.25">
      <c r="B56" t="s">
        <v>69</v>
      </c>
      <c r="C56">
        <v>6.8</v>
      </c>
      <c r="G56" s="5"/>
    </row>
    <row r="57" spans="1:8" x14ac:dyDescent="0.25">
      <c r="B57" t="s">
        <v>74</v>
      </c>
      <c r="C57">
        <v>0.03</v>
      </c>
      <c r="G57" s="5"/>
    </row>
    <row r="58" spans="1:8" x14ac:dyDescent="0.25">
      <c r="B58" t="s">
        <v>86</v>
      </c>
      <c r="C58">
        <v>0.03</v>
      </c>
      <c r="G58" s="5"/>
    </row>
    <row r="59" spans="1:8" x14ac:dyDescent="0.25">
      <c r="B59" t="s">
        <v>114</v>
      </c>
      <c r="C59">
        <v>9.9999999999999992E-2</v>
      </c>
      <c r="G59" s="5"/>
    </row>
    <row r="60" spans="1:8" x14ac:dyDescent="0.25">
      <c r="B60" t="s">
        <v>152</v>
      </c>
      <c r="C60">
        <v>1.8999999999999997</v>
      </c>
      <c r="G60" s="5"/>
    </row>
    <row r="61" spans="1:8" x14ac:dyDescent="0.25">
      <c r="B61" t="s">
        <v>22</v>
      </c>
      <c r="C61">
        <v>5.000000000000001E-2</v>
      </c>
      <c r="G61" s="5"/>
    </row>
    <row r="62" spans="1:8" x14ac:dyDescent="0.25">
      <c r="B62" t="s">
        <v>115</v>
      </c>
      <c r="C62">
        <v>0.08</v>
      </c>
      <c r="G62" s="5"/>
    </row>
    <row r="63" spans="1:8" x14ac:dyDescent="0.25">
      <c r="B63" t="s">
        <v>21</v>
      </c>
      <c r="C63">
        <v>2.2000000000000002E-2</v>
      </c>
      <c r="G63" s="5"/>
    </row>
    <row r="64" spans="1:8" x14ac:dyDescent="0.25">
      <c r="C64">
        <f>SUM(C54:C63)</f>
        <v>26.012</v>
      </c>
      <c r="G64" s="5"/>
    </row>
  </sheetData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51"/>
  <sheetViews>
    <sheetView topLeftCell="A13" workbookViewId="0">
      <selection activeCell="B11" sqref="B11"/>
    </sheetView>
  </sheetViews>
  <sheetFormatPr baseColWidth="10" defaultRowHeight="15" x14ac:dyDescent="0.25"/>
  <cols>
    <col min="1" max="1" width="2" customWidth="1"/>
    <col min="2" max="2" width="23.140625" customWidth="1"/>
    <col min="3" max="3" width="11.140625" customWidth="1"/>
    <col min="4" max="4" width="4.140625" customWidth="1"/>
    <col min="5" max="5" width="9.140625" customWidth="1"/>
    <col min="6" max="6" width="8.7109375" customWidth="1"/>
    <col min="9" max="9" width="21" customWidth="1"/>
  </cols>
  <sheetData>
    <row r="1" spans="1:11" x14ac:dyDescent="0.25">
      <c r="E1" s="2"/>
      <c r="F1" s="2"/>
      <c r="G1" s="2"/>
    </row>
    <row r="2" spans="1:11" x14ac:dyDescent="0.25">
      <c r="C2" t="s">
        <v>16</v>
      </c>
      <c r="E2" s="2"/>
      <c r="F2" s="2"/>
      <c r="G2" s="2"/>
    </row>
    <row r="3" spans="1:11" x14ac:dyDescent="0.25">
      <c r="A3" s="3" t="s">
        <v>269</v>
      </c>
      <c r="B3" s="3"/>
      <c r="C3" s="1" t="s">
        <v>58</v>
      </c>
      <c r="D3" t="s">
        <v>59</v>
      </c>
      <c r="E3" s="24"/>
      <c r="F3" s="5"/>
      <c r="G3" s="5"/>
    </row>
    <row r="4" spans="1:11" x14ac:dyDescent="0.25">
      <c r="B4" t="s">
        <v>101</v>
      </c>
      <c r="C4">
        <v>5.6</v>
      </c>
      <c r="D4" t="s">
        <v>6</v>
      </c>
      <c r="E4" s="6"/>
      <c r="F4" s="5"/>
      <c r="G4" s="5"/>
    </row>
    <row r="5" spans="1:11" x14ac:dyDescent="0.25">
      <c r="B5" t="s">
        <v>169</v>
      </c>
      <c r="C5">
        <v>0.26</v>
      </c>
      <c r="D5" t="s">
        <v>6</v>
      </c>
      <c r="E5" s="5"/>
      <c r="F5" s="5"/>
      <c r="G5" s="5"/>
      <c r="I5" s="7"/>
      <c r="J5" s="8"/>
      <c r="K5" s="7"/>
    </row>
    <row r="6" spans="1:11" x14ac:dyDescent="0.25">
      <c r="B6" t="s">
        <v>163</v>
      </c>
      <c r="C6">
        <v>1</v>
      </c>
      <c r="D6" t="s">
        <v>38</v>
      </c>
      <c r="E6" s="5"/>
      <c r="F6" s="5"/>
      <c r="G6" s="5"/>
      <c r="I6" s="7"/>
      <c r="J6" s="8"/>
      <c r="K6" s="7"/>
    </row>
    <row r="7" spans="1:11" x14ac:dyDescent="0.25">
      <c r="B7" t="s">
        <v>98</v>
      </c>
      <c r="C7">
        <v>0.4</v>
      </c>
      <c r="D7" t="s">
        <v>6</v>
      </c>
      <c r="E7" s="5"/>
      <c r="F7" s="5"/>
      <c r="G7" s="5"/>
      <c r="I7" s="7"/>
      <c r="J7" s="7"/>
      <c r="K7" s="7"/>
    </row>
    <row r="8" spans="1:11" x14ac:dyDescent="0.25">
      <c r="B8" t="s">
        <v>99</v>
      </c>
      <c r="C8">
        <v>1.5</v>
      </c>
      <c r="D8" t="s">
        <v>6</v>
      </c>
      <c r="E8" s="5"/>
      <c r="F8" s="5"/>
      <c r="G8" s="5"/>
      <c r="I8" s="7"/>
      <c r="J8" s="7"/>
      <c r="K8" s="7"/>
    </row>
    <row r="9" spans="1:11" x14ac:dyDescent="0.25">
      <c r="B9" t="s">
        <v>35</v>
      </c>
      <c r="C9">
        <v>8.0000000000000002E-3</v>
      </c>
      <c r="D9" t="s">
        <v>15</v>
      </c>
      <c r="E9" s="5"/>
      <c r="F9" s="5"/>
      <c r="G9" s="5"/>
      <c r="I9" s="7"/>
      <c r="J9" s="7"/>
      <c r="K9" s="7"/>
    </row>
    <row r="10" spans="1:11" x14ac:dyDescent="0.25">
      <c r="E10" s="5"/>
      <c r="F10" s="5"/>
      <c r="G10" s="5"/>
      <c r="I10" s="7"/>
      <c r="J10" s="7"/>
      <c r="K10" s="7"/>
    </row>
    <row r="11" spans="1:11" x14ac:dyDescent="0.25">
      <c r="A11" s="3" t="s">
        <v>94</v>
      </c>
      <c r="E11" s="5"/>
      <c r="F11" s="5"/>
      <c r="G11" s="45"/>
      <c r="H11" s="1"/>
      <c r="I11" s="7"/>
      <c r="J11" s="7"/>
      <c r="K11" s="7"/>
    </row>
    <row r="12" spans="1:11" x14ac:dyDescent="0.25">
      <c r="B12" t="s">
        <v>103</v>
      </c>
      <c r="C12">
        <v>50</v>
      </c>
      <c r="D12" t="s">
        <v>6</v>
      </c>
      <c r="E12" s="5"/>
      <c r="F12" s="5"/>
      <c r="G12" s="5"/>
      <c r="I12" s="8"/>
      <c r="J12" s="8"/>
      <c r="K12" s="7"/>
    </row>
    <row r="13" spans="1:11" x14ac:dyDescent="0.25">
      <c r="B13" t="s">
        <v>164</v>
      </c>
      <c r="C13">
        <v>9</v>
      </c>
      <c r="D13" t="s">
        <v>6</v>
      </c>
      <c r="E13" s="5"/>
      <c r="F13" s="5"/>
      <c r="G13" s="5"/>
      <c r="I13" s="8"/>
      <c r="J13" s="8"/>
      <c r="K13" s="7"/>
    </row>
    <row r="14" spans="1:11" x14ac:dyDescent="0.25">
      <c r="B14" t="s">
        <v>165</v>
      </c>
      <c r="C14">
        <v>5</v>
      </c>
      <c r="D14" t="s">
        <v>6</v>
      </c>
      <c r="E14" s="5"/>
      <c r="F14" s="5"/>
      <c r="G14" s="5"/>
      <c r="I14" s="8"/>
      <c r="J14" s="7"/>
      <c r="K14" s="7"/>
    </row>
    <row r="15" spans="1:11" x14ac:dyDescent="0.25">
      <c r="B15" t="s">
        <v>166</v>
      </c>
      <c r="C15">
        <v>9.5</v>
      </c>
      <c r="D15" t="s">
        <v>6</v>
      </c>
      <c r="E15" s="5"/>
      <c r="F15" s="5"/>
      <c r="G15" s="5"/>
      <c r="I15" s="8"/>
      <c r="J15" s="8"/>
      <c r="K15" s="7"/>
    </row>
    <row r="16" spans="1:11" x14ac:dyDescent="0.25">
      <c r="B16" t="s">
        <v>104</v>
      </c>
      <c r="C16">
        <f>13.5/75*50</f>
        <v>9</v>
      </c>
      <c r="D16" t="s">
        <v>6</v>
      </c>
      <c r="E16" s="5"/>
      <c r="F16" s="5"/>
      <c r="G16" s="5"/>
      <c r="I16" s="8"/>
      <c r="J16" s="8"/>
      <c r="K16" s="7"/>
    </row>
    <row r="17" spans="1:11" x14ac:dyDescent="0.25">
      <c r="B17" t="s">
        <v>105</v>
      </c>
      <c r="C17">
        <v>1</v>
      </c>
      <c r="D17" t="s">
        <v>6</v>
      </c>
      <c r="E17" s="5"/>
      <c r="F17" s="5"/>
      <c r="G17" s="5"/>
      <c r="I17" s="8"/>
      <c r="J17" s="8"/>
      <c r="K17" s="7"/>
    </row>
    <row r="18" spans="1:11" x14ac:dyDescent="0.25">
      <c r="B18" t="s">
        <v>152</v>
      </c>
      <c r="C18">
        <v>1.5</v>
      </c>
      <c r="D18" t="s">
        <v>6</v>
      </c>
      <c r="E18" s="5"/>
      <c r="F18" s="5"/>
      <c r="G18" s="5"/>
      <c r="I18" s="8"/>
      <c r="J18" s="8"/>
      <c r="K18" s="7"/>
    </row>
    <row r="19" spans="1:11" x14ac:dyDescent="0.25">
      <c r="B19" t="s">
        <v>167</v>
      </c>
      <c r="C19">
        <v>0.65</v>
      </c>
      <c r="D19" t="s">
        <v>6</v>
      </c>
      <c r="E19" s="5"/>
      <c r="F19" s="5"/>
      <c r="G19" s="5"/>
      <c r="I19" s="8"/>
      <c r="J19" s="8"/>
      <c r="K19" s="7"/>
    </row>
    <row r="20" spans="1:11" x14ac:dyDescent="0.25">
      <c r="B20" t="s">
        <v>70</v>
      </c>
      <c r="C20">
        <v>0.65</v>
      </c>
      <c r="D20" t="s">
        <v>6</v>
      </c>
      <c r="E20" s="5"/>
      <c r="F20" s="5"/>
      <c r="G20" s="5"/>
      <c r="I20" s="8"/>
      <c r="J20" s="8"/>
      <c r="K20" s="7"/>
    </row>
    <row r="21" spans="1:11" x14ac:dyDescent="0.25">
      <c r="B21" t="s">
        <v>197</v>
      </c>
      <c r="C21">
        <v>0.8</v>
      </c>
      <c r="D21" t="s">
        <v>6</v>
      </c>
      <c r="E21" s="5"/>
      <c r="F21" s="5"/>
      <c r="G21" s="5"/>
      <c r="I21" s="8"/>
      <c r="J21" s="8"/>
      <c r="K21" s="7"/>
    </row>
    <row r="22" spans="1:11" x14ac:dyDescent="0.25">
      <c r="B22" t="s">
        <v>106</v>
      </c>
      <c r="C22">
        <v>1</v>
      </c>
      <c r="D22" t="s">
        <v>6</v>
      </c>
      <c r="E22" s="5"/>
      <c r="F22" s="5"/>
      <c r="G22" s="5"/>
      <c r="I22" s="8"/>
      <c r="J22" s="8"/>
      <c r="K22" s="7"/>
    </row>
    <row r="23" spans="1:11" x14ac:dyDescent="0.25">
      <c r="B23" t="s">
        <v>90</v>
      </c>
      <c r="C23">
        <v>1</v>
      </c>
      <c r="D23" t="s">
        <v>6</v>
      </c>
      <c r="E23" s="5"/>
      <c r="F23" s="5"/>
      <c r="G23" s="5"/>
      <c r="I23" s="8"/>
      <c r="J23" s="8"/>
      <c r="K23" s="7"/>
    </row>
    <row r="24" spans="1:11" x14ac:dyDescent="0.25">
      <c r="B24" t="s">
        <v>21</v>
      </c>
      <c r="C24">
        <v>0.1</v>
      </c>
      <c r="D24" t="s">
        <v>6</v>
      </c>
      <c r="E24" s="5"/>
      <c r="F24" s="5"/>
      <c r="G24" s="5"/>
      <c r="I24" s="8"/>
      <c r="J24" s="8"/>
      <c r="K24" s="7"/>
    </row>
    <row r="25" spans="1:11" x14ac:dyDescent="0.25">
      <c r="B25" t="s">
        <v>86</v>
      </c>
      <c r="C25">
        <v>7.0000000000000007E-2</v>
      </c>
      <c r="D25" t="s">
        <v>6</v>
      </c>
      <c r="E25" s="5"/>
      <c r="F25" s="5"/>
      <c r="G25" s="5"/>
      <c r="I25" s="8"/>
      <c r="J25" s="8"/>
      <c r="K25" s="7"/>
    </row>
    <row r="26" spans="1:11" x14ac:dyDescent="0.25">
      <c r="B26" t="s">
        <v>120</v>
      </c>
      <c r="C26">
        <v>0.15</v>
      </c>
      <c r="D26" t="s">
        <v>6</v>
      </c>
      <c r="E26" s="5"/>
      <c r="F26" s="5"/>
      <c r="G26" s="5"/>
      <c r="I26" s="8"/>
      <c r="J26" s="8"/>
      <c r="K26" s="7"/>
    </row>
    <row r="27" spans="1:11" x14ac:dyDescent="0.25">
      <c r="E27" s="5"/>
      <c r="F27" s="5"/>
      <c r="G27" s="5"/>
      <c r="I27" s="8"/>
      <c r="J27" s="7"/>
      <c r="K27" s="7"/>
    </row>
    <row r="28" spans="1:11" x14ac:dyDescent="0.25">
      <c r="E28" s="5"/>
      <c r="F28" s="5"/>
      <c r="G28" s="39"/>
      <c r="I28" s="7"/>
      <c r="J28" s="7"/>
      <c r="K28" s="7"/>
    </row>
    <row r="29" spans="1:11" x14ac:dyDescent="0.25">
      <c r="A29" s="3" t="s">
        <v>107</v>
      </c>
      <c r="C29" t="s">
        <v>127</v>
      </c>
      <c r="E29" s="5"/>
      <c r="F29" s="5"/>
      <c r="G29" s="45"/>
      <c r="I29" s="7"/>
      <c r="J29" s="7"/>
      <c r="K29" s="7"/>
    </row>
    <row r="30" spans="1:11" x14ac:dyDescent="0.25">
      <c r="B30" t="s">
        <v>164</v>
      </c>
      <c r="C30">
        <v>212</v>
      </c>
      <c r="D30" t="s">
        <v>6</v>
      </c>
      <c r="E30" s="5"/>
      <c r="F30" s="5"/>
      <c r="G30" s="5"/>
      <c r="I30" s="7"/>
      <c r="J30" s="7"/>
      <c r="K30" s="7"/>
    </row>
    <row r="31" spans="1:11" x14ac:dyDescent="0.25">
      <c r="B31" t="s">
        <v>89</v>
      </c>
      <c r="C31">
        <v>38</v>
      </c>
      <c r="D31" t="s">
        <v>6</v>
      </c>
      <c r="E31" s="5"/>
      <c r="F31" s="5"/>
      <c r="G31" s="5"/>
      <c r="I31" s="8"/>
      <c r="J31" s="8"/>
      <c r="K31" s="7"/>
    </row>
    <row r="32" spans="1:11" x14ac:dyDescent="0.25">
      <c r="B32" t="s">
        <v>85</v>
      </c>
      <c r="C32">
        <v>0.4</v>
      </c>
      <c r="D32" t="s">
        <v>6</v>
      </c>
      <c r="E32" s="5"/>
      <c r="F32" s="5"/>
      <c r="G32" s="5"/>
      <c r="I32" s="8"/>
      <c r="J32" s="8"/>
      <c r="K32" s="7"/>
    </row>
    <row r="33" spans="1:11" x14ac:dyDescent="0.25">
      <c r="B33" t="s">
        <v>86</v>
      </c>
      <c r="C33">
        <v>0.4</v>
      </c>
      <c r="D33" t="s">
        <v>6</v>
      </c>
      <c r="E33" s="5"/>
      <c r="F33" s="5"/>
      <c r="G33" s="5"/>
      <c r="I33" s="7"/>
      <c r="J33" s="7"/>
      <c r="K33" s="7"/>
    </row>
    <row r="34" spans="1:11" x14ac:dyDescent="0.25">
      <c r="B34" t="s">
        <v>90</v>
      </c>
      <c r="C34">
        <v>10</v>
      </c>
      <c r="D34" t="s">
        <v>6</v>
      </c>
      <c r="E34" s="5"/>
      <c r="F34" s="5"/>
      <c r="G34" s="5"/>
      <c r="I34" s="7"/>
      <c r="J34" s="7"/>
      <c r="K34" s="7"/>
    </row>
    <row r="35" spans="1:11" x14ac:dyDescent="0.25">
      <c r="B35" t="s">
        <v>117</v>
      </c>
      <c r="C35">
        <v>12</v>
      </c>
      <c r="D35" t="s">
        <v>6</v>
      </c>
      <c r="E35" s="5"/>
      <c r="F35" s="5"/>
      <c r="G35" s="5"/>
      <c r="I35" s="8"/>
      <c r="J35" s="8"/>
      <c r="K35" s="7"/>
    </row>
    <row r="36" spans="1:11" x14ac:dyDescent="0.25">
      <c r="B36" t="s">
        <v>168</v>
      </c>
      <c r="C36">
        <v>5</v>
      </c>
      <c r="D36" t="s">
        <v>6</v>
      </c>
      <c r="E36" s="5"/>
      <c r="F36" s="5"/>
      <c r="G36" s="5"/>
      <c r="I36" s="7"/>
      <c r="J36" s="8"/>
      <c r="K36" s="7"/>
    </row>
    <row r="37" spans="1:11" x14ac:dyDescent="0.25">
      <c r="B37" t="s">
        <v>91</v>
      </c>
      <c r="C37">
        <v>230</v>
      </c>
      <c r="D37" t="s">
        <v>6</v>
      </c>
      <c r="E37" s="5"/>
      <c r="F37" s="5"/>
      <c r="G37" s="5"/>
      <c r="I37" s="8"/>
      <c r="J37" s="8"/>
      <c r="K37" s="7"/>
    </row>
    <row r="38" spans="1:11" x14ac:dyDescent="0.25">
      <c r="B38" t="s">
        <v>82</v>
      </c>
      <c r="C38">
        <v>0.86</v>
      </c>
      <c r="D38" t="s">
        <v>6</v>
      </c>
      <c r="E38" s="5"/>
      <c r="F38" s="5"/>
      <c r="G38" s="5"/>
      <c r="I38" s="8"/>
      <c r="J38" s="8"/>
      <c r="K38" s="7"/>
    </row>
    <row r="39" spans="1:11" x14ac:dyDescent="0.25">
      <c r="C39">
        <f>SUM(C30:C38)</f>
        <v>508.66</v>
      </c>
    </row>
    <row r="40" spans="1:11" x14ac:dyDescent="0.25">
      <c r="A40" s="3" t="s">
        <v>98</v>
      </c>
      <c r="G40" s="45"/>
    </row>
    <row r="41" spans="1:11" x14ac:dyDescent="0.25">
      <c r="B41" t="s">
        <v>113</v>
      </c>
      <c r="C41">
        <v>18.3</v>
      </c>
      <c r="G41" s="5"/>
    </row>
    <row r="42" spans="1:11" x14ac:dyDescent="0.25">
      <c r="B42" t="s">
        <v>248</v>
      </c>
      <c r="C42">
        <v>3</v>
      </c>
      <c r="G42" s="5"/>
    </row>
    <row r="43" spans="1:11" x14ac:dyDescent="0.25">
      <c r="B43" t="s">
        <v>164</v>
      </c>
      <c r="C43">
        <v>2.5</v>
      </c>
      <c r="G43" s="5"/>
    </row>
    <row r="44" spans="1:11" x14ac:dyDescent="0.25">
      <c r="B44" t="s">
        <v>74</v>
      </c>
      <c r="C44">
        <v>0.03</v>
      </c>
      <c r="G44" s="5"/>
    </row>
    <row r="45" spans="1:11" x14ac:dyDescent="0.25">
      <c r="B45" t="s">
        <v>152</v>
      </c>
      <c r="C45">
        <v>1.9</v>
      </c>
      <c r="G45" s="5"/>
    </row>
    <row r="46" spans="1:11" x14ac:dyDescent="0.25">
      <c r="B46" t="s">
        <v>22</v>
      </c>
      <c r="C46">
        <v>0.05</v>
      </c>
      <c r="G46" s="5"/>
    </row>
    <row r="47" spans="1:11" x14ac:dyDescent="0.25">
      <c r="B47" t="s">
        <v>71</v>
      </c>
      <c r="C47">
        <v>0.03</v>
      </c>
      <c r="G47" s="5"/>
    </row>
    <row r="48" spans="1:11" x14ac:dyDescent="0.25">
      <c r="B48" t="s">
        <v>114</v>
      </c>
      <c r="C48">
        <v>0.1</v>
      </c>
      <c r="G48" s="5"/>
    </row>
    <row r="49" spans="2:7" x14ac:dyDescent="0.25">
      <c r="B49" t="s">
        <v>115</v>
      </c>
      <c r="C49">
        <v>0.08</v>
      </c>
      <c r="G49" s="5"/>
    </row>
    <row r="50" spans="2:7" x14ac:dyDescent="0.25">
      <c r="B50" t="s">
        <v>21</v>
      </c>
      <c r="C50">
        <v>2.1999999999999999E-2</v>
      </c>
      <c r="G50" s="5"/>
    </row>
    <row r="51" spans="2:7" x14ac:dyDescent="0.25">
      <c r="C51">
        <f>SUM(C41:C50)</f>
        <v>26.012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6798D-F68B-4C48-9A77-BF0F8024145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45"/>
  <sheetViews>
    <sheetView workbookViewId="0">
      <selection activeCell="E1" sqref="E1"/>
    </sheetView>
  </sheetViews>
  <sheetFormatPr baseColWidth="10" defaultRowHeight="15" x14ac:dyDescent="0.25"/>
  <cols>
    <col min="1" max="1" width="2" customWidth="1"/>
    <col min="2" max="2" width="23.140625" customWidth="1"/>
    <col min="3" max="3" width="11.140625" customWidth="1"/>
    <col min="4" max="4" width="4.140625" customWidth="1"/>
    <col min="5" max="5" width="9.140625" customWidth="1"/>
    <col min="6" max="6" width="8.7109375" customWidth="1"/>
  </cols>
  <sheetData>
    <row r="1" spans="1:9" x14ac:dyDescent="0.25">
      <c r="E1" s="2"/>
      <c r="F1" s="2"/>
      <c r="G1" s="2"/>
    </row>
    <row r="2" spans="1:9" x14ac:dyDescent="0.25">
      <c r="C2" t="s">
        <v>16</v>
      </c>
      <c r="E2" s="2"/>
      <c r="F2" s="2"/>
      <c r="G2" s="2"/>
    </row>
    <row r="3" spans="1:9" x14ac:dyDescent="0.25">
      <c r="A3" s="3" t="s">
        <v>143</v>
      </c>
      <c r="B3" s="3"/>
      <c r="C3" s="1" t="s">
        <v>58</v>
      </c>
      <c r="D3" t="s">
        <v>59</v>
      </c>
      <c r="E3" s="24"/>
      <c r="F3" s="5"/>
      <c r="G3" s="5"/>
    </row>
    <row r="4" spans="1:9" x14ac:dyDescent="0.25">
      <c r="B4" t="s">
        <v>145</v>
      </c>
      <c r="C4">
        <f>24*2*14/1000</f>
        <v>0.67200000000000004</v>
      </c>
      <c r="D4" t="s">
        <v>6</v>
      </c>
      <c r="E4" s="6"/>
      <c r="F4" s="5"/>
      <c r="G4" s="5"/>
    </row>
    <row r="5" spans="1:9" x14ac:dyDescent="0.25">
      <c r="B5" t="s">
        <v>146</v>
      </c>
      <c r="C5">
        <v>1.4999999999999999E-2</v>
      </c>
      <c r="D5" t="s">
        <v>6</v>
      </c>
      <c r="E5" s="5"/>
      <c r="F5" s="5"/>
      <c r="G5" s="5"/>
    </row>
    <row r="6" spans="1:9" x14ac:dyDescent="0.25">
      <c r="B6" t="s">
        <v>147</v>
      </c>
      <c r="C6">
        <v>1</v>
      </c>
      <c r="D6" t="s">
        <v>38</v>
      </c>
      <c r="E6" s="5"/>
      <c r="F6" s="5"/>
      <c r="G6" s="5"/>
    </row>
    <row r="7" spans="1:9" x14ac:dyDescent="0.25">
      <c r="B7" t="s">
        <v>98</v>
      </c>
      <c r="C7">
        <v>0.1</v>
      </c>
      <c r="D7" t="s">
        <v>6</v>
      </c>
      <c r="E7" s="5"/>
      <c r="F7" s="5"/>
      <c r="G7" s="5"/>
    </row>
    <row r="8" spans="1:9" x14ac:dyDescent="0.25">
      <c r="B8" t="s">
        <v>99</v>
      </c>
      <c r="C8">
        <v>0.14399999999999999</v>
      </c>
      <c r="D8" t="s">
        <v>6</v>
      </c>
      <c r="E8" s="5"/>
      <c r="F8" s="12"/>
      <c r="G8" s="5"/>
    </row>
    <row r="9" spans="1:9" x14ac:dyDescent="0.25">
      <c r="E9" s="5"/>
      <c r="F9" s="5"/>
      <c r="G9" s="5"/>
    </row>
    <row r="10" spans="1:9" x14ac:dyDescent="0.25">
      <c r="A10" s="3" t="s">
        <v>145</v>
      </c>
      <c r="E10" s="5"/>
      <c r="F10" s="5"/>
      <c r="G10" s="5"/>
    </row>
    <row r="11" spans="1:9" x14ac:dyDescent="0.25">
      <c r="B11" t="s">
        <v>103</v>
      </c>
      <c r="C11">
        <v>50</v>
      </c>
      <c r="D11" t="s">
        <v>6</v>
      </c>
      <c r="E11" s="5"/>
      <c r="F11" s="5"/>
      <c r="G11" s="5"/>
      <c r="I11" s="5"/>
    </row>
    <row r="12" spans="1:9" x14ac:dyDescent="0.25">
      <c r="B12" t="s">
        <v>69</v>
      </c>
      <c r="C12">
        <f>3.46*4+0.17*0.7*4</f>
        <v>14.315999999999999</v>
      </c>
      <c r="D12" t="s">
        <v>6</v>
      </c>
      <c r="E12" s="5"/>
      <c r="F12" s="5"/>
      <c r="G12" s="5"/>
      <c r="I12" s="5"/>
    </row>
    <row r="13" spans="1:9" x14ac:dyDescent="0.25">
      <c r="B13" t="s">
        <v>88</v>
      </c>
      <c r="C13">
        <f>2.05*4</f>
        <v>8.1999999999999993</v>
      </c>
      <c r="D13" t="s">
        <v>6</v>
      </c>
      <c r="E13" s="5"/>
      <c r="F13" s="5"/>
      <c r="G13" s="5"/>
      <c r="I13" s="5"/>
    </row>
    <row r="14" spans="1:9" x14ac:dyDescent="0.25">
      <c r="B14" t="s">
        <v>104</v>
      </c>
      <c r="C14">
        <v>4.4000000000000004</v>
      </c>
      <c r="D14" t="s">
        <v>6</v>
      </c>
      <c r="E14" s="5"/>
      <c r="F14" s="5"/>
      <c r="G14" s="5"/>
    </row>
    <row r="15" spans="1:9" x14ac:dyDescent="0.25">
      <c r="B15" t="s">
        <v>105</v>
      </c>
      <c r="C15">
        <v>0.92</v>
      </c>
      <c r="D15" t="s">
        <v>6</v>
      </c>
      <c r="E15" s="5"/>
      <c r="F15" s="5"/>
      <c r="G15" s="5"/>
      <c r="I15" s="5"/>
    </row>
    <row r="16" spans="1:9" x14ac:dyDescent="0.25">
      <c r="B16" t="s">
        <v>137</v>
      </c>
      <c r="C16">
        <v>1.8</v>
      </c>
      <c r="D16" t="s">
        <v>6</v>
      </c>
      <c r="E16" s="5"/>
      <c r="F16" s="5"/>
      <c r="G16" s="5"/>
    </row>
    <row r="17" spans="1:9" x14ac:dyDescent="0.25">
      <c r="B17" t="s">
        <v>196</v>
      </c>
      <c r="C17">
        <v>0.8</v>
      </c>
      <c r="D17" t="s">
        <v>6</v>
      </c>
      <c r="E17" s="5"/>
      <c r="F17" s="5"/>
      <c r="G17" s="5"/>
    </row>
    <row r="18" spans="1:9" x14ac:dyDescent="0.25">
      <c r="B18" t="s">
        <v>106</v>
      </c>
      <c r="C18">
        <v>0.6</v>
      </c>
      <c r="D18" t="s">
        <v>6</v>
      </c>
      <c r="E18" s="5"/>
      <c r="F18" s="5"/>
      <c r="G18" s="5"/>
    </row>
    <row r="19" spans="1:9" x14ac:dyDescent="0.25">
      <c r="B19" t="s">
        <v>90</v>
      </c>
      <c r="C19">
        <v>0.9</v>
      </c>
      <c r="D19" t="s">
        <v>6</v>
      </c>
      <c r="E19" s="5"/>
      <c r="F19" s="5"/>
      <c r="G19" s="5"/>
      <c r="I19" s="5"/>
    </row>
    <row r="20" spans="1:9" x14ac:dyDescent="0.25">
      <c r="B20" t="s">
        <v>21</v>
      </c>
      <c r="C20">
        <v>0.1</v>
      </c>
      <c r="D20" t="s">
        <v>6</v>
      </c>
      <c r="E20" s="5"/>
      <c r="F20" s="5"/>
      <c r="G20" s="5"/>
    </row>
    <row r="21" spans="1:9" x14ac:dyDescent="0.25">
      <c r="B21" t="s">
        <v>120</v>
      </c>
      <c r="C21">
        <v>0.28000000000000003</v>
      </c>
      <c r="D21" t="s">
        <v>6</v>
      </c>
      <c r="E21" s="5"/>
      <c r="F21" s="5"/>
      <c r="G21" s="5"/>
    </row>
    <row r="22" spans="1:9" x14ac:dyDescent="0.25">
      <c r="B22" t="s">
        <v>86</v>
      </c>
      <c r="C22">
        <v>6.4000000000000001E-2</v>
      </c>
      <c r="D22" t="s">
        <v>6</v>
      </c>
      <c r="E22" s="5"/>
      <c r="F22" s="5"/>
      <c r="G22" s="5"/>
      <c r="I22" s="5"/>
    </row>
    <row r="23" spans="1:9" x14ac:dyDescent="0.25">
      <c r="E23" s="5"/>
      <c r="F23" s="5"/>
      <c r="G23" s="5"/>
    </row>
    <row r="24" spans="1:9" x14ac:dyDescent="0.25">
      <c r="A24" s="3" t="s">
        <v>107</v>
      </c>
      <c r="C24" t="s">
        <v>127</v>
      </c>
      <c r="E24" s="5"/>
      <c r="F24" s="5"/>
      <c r="G24" s="5"/>
    </row>
    <row r="25" spans="1:9" x14ac:dyDescent="0.25">
      <c r="B25" t="s">
        <v>69</v>
      </c>
      <c r="C25">
        <v>95</v>
      </c>
      <c r="D25" t="s">
        <v>6</v>
      </c>
      <c r="E25" s="5"/>
      <c r="F25" s="5"/>
      <c r="G25" s="5"/>
    </row>
    <row r="26" spans="1:9" x14ac:dyDescent="0.25">
      <c r="B26" t="s">
        <v>89</v>
      </c>
      <c r="C26">
        <v>17</v>
      </c>
      <c r="D26" t="s">
        <v>6</v>
      </c>
      <c r="E26" s="5"/>
      <c r="F26" s="5"/>
      <c r="G26" s="5"/>
      <c r="I26" s="5"/>
    </row>
    <row r="27" spans="1:9" x14ac:dyDescent="0.25">
      <c r="B27" t="s">
        <v>85</v>
      </c>
      <c r="C27">
        <v>0.2</v>
      </c>
      <c r="D27" t="s">
        <v>6</v>
      </c>
      <c r="E27" s="5"/>
      <c r="F27" s="5"/>
      <c r="G27" s="5"/>
    </row>
    <row r="28" spans="1:9" x14ac:dyDescent="0.25">
      <c r="B28" t="s">
        <v>86</v>
      </c>
      <c r="C28">
        <v>0.15</v>
      </c>
      <c r="D28" t="s">
        <v>6</v>
      </c>
      <c r="E28" s="5"/>
      <c r="F28" s="5"/>
      <c r="G28" s="5"/>
    </row>
    <row r="29" spans="1:9" x14ac:dyDescent="0.25">
      <c r="B29" t="s">
        <v>90</v>
      </c>
      <c r="C29">
        <v>10</v>
      </c>
      <c r="D29" t="s">
        <v>6</v>
      </c>
      <c r="E29" s="5"/>
      <c r="F29" s="5"/>
      <c r="G29" s="5"/>
    </row>
    <row r="30" spans="1:9" x14ac:dyDescent="0.25">
      <c r="B30" t="s">
        <v>105</v>
      </c>
      <c r="C30">
        <v>0.2</v>
      </c>
      <c r="D30" t="s">
        <v>6</v>
      </c>
      <c r="E30" s="5"/>
      <c r="F30" s="5"/>
      <c r="G30" s="5"/>
    </row>
    <row r="31" spans="1:9" x14ac:dyDescent="0.25">
      <c r="B31" t="s">
        <v>91</v>
      </c>
      <c r="C31">
        <v>103</v>
      </c>
      <c r="D31" t="s">
        <v>6</v>
      </c>
      <c r="E31" s="5"/>
      <c r="F31" s="5"/>
      <c r="G31" s="5"/>
      <c r="I31" s="5"/>
    </row>
    <row r="32" spans="1:9" x14ac:dyDescent="0.25">
      <c r="B32" t="s">
        <v>82</v>
      </c>
      <c r="C32">
        <v>0.39</v>
      </c>
      <c r="D32" t="s">
        <v>6</v>
      </c>
      <c r="E32" s="5"/>
      <c r="F32" s="5"/>
      <c r="G32" s="5"/>
    </row>
    <row r="33" spans="1:7" x14ac:dyDescent="0.25">
      <c r="C33">
        <f>SUM(C25:C32)</f>
        <v>225.94</v>
      </c>
    </row>
    <row r="34" spans="1:7" x14ac:dyDescent="0.25">
      <c r="A34" s="3" t="s">
        <v>98</v>
      </c>
      <c r="G34" s="5"/>
    </row>
    <row r="35" spans="1:7" x14ac:dyDescent="0.25">
      <c r="B35" t="s">
        <v>113</v>
      </c>
      <c r="C35">
        <v>30</v>
      </c>
      <c r="G35" s="5"/>
    </row>
    <row r="36" spans="1:7" x14ac:dyDescent="0.25">
      <c r="B36" t="s">
        <v>142</v>
      </c>
      <c r="C36">
        <v>8.5</v>
      </c>
      <c r="G36" s="5"/>
    </row>
    <row r="37" spans="1:7" x14ac:dyDescent="0.25">
      <c r="B37" t="s">
        <v>69</v>
      </c>
      <c r="C37">
        <v>15</v>
      </c>
      <c r="G37" s="5"/>
    </row>
    <row r="38" spans="1:7" x14ac:dyDescent="0.25">
      <c r="B38" t="s">
        <v>74</v>
      </c>
      <c r="C38">
        <v>7.0000000000000007E-2</v>
      </c>
      <c r="G38" s="5"/>
    </row>
    <row r="39" spans="1:7" x14ac:dyDescent="0.25">
      <c r="B39" t="s">
        <v>86</v>
      </c>
      <c r="C39">
        <v>0.06</v>
      </c>
      <c r="G39" s="5"/>
    </row>
    <row r="40" spans="1:7" x14ac:dyDescent="0.25">
      <c r="B40" t="s">
        <v>114</v>
      </c>
      <c r="C40">
        <v>0.21</v>
      </c>
      <c r="G40" s="5"/>
    </row>
    <row r="41" spans="1:7" x14ac:dyDescent="0.25">
      <c r="B41" t="s">
        <v>152</v>
      </c>
      <c r="C41">
        <v>6</v>
      </c>
      <c r="G41" s="5"/>
    </row>
    <row r="42" spans="1:7" x14ac:dyDescent="0.25">
      <c r="B42" t="s">
        <v>22</v>
      </c>
      <c r="C42">
        <v>0.12</v>
      </c>
      <c r="G42" s="5"/>
    </row>
    <row r="43" spans="1:7" x14ac:dyDescent="0.25">
      <c r="B43" t="s">
        <v>115</v>
      </c>
      <c r="C43">
        <v>0.18</v>
      </c>
      <c r="G43" s="5"/>
    </row>
    <row r="44" spans="1:7" x14ac:dyDescent="0.25">
      <c r="B44" t="s">
        <v>21</v>
      </c>
      <c r="C44">
        <v>0.05</v>
      </c>
      <c r="G44" s="5"/>
    </row>
    <row r="45" spans="1:7" x14ac:dyDescent="0.25">
      <c r="C45">
        <f>SUM(C35:C44)</f>
        <v>60.19</v>
      </c>
      <c r="G4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10</vt:i4>
      </vt:variant>
    </vt:vector>
  </HeadingPairs>
  <TitlesOfParts>
    <vt:vector size="25" baseType="lpstr">
      <vt:lpstr>Pipa</vt:lpstr>
      <vt:lpstr>Nacho</vt:lpstr>
      <vt:lpstr>Papa</vt:lpstr>
      <vt:lpstr>Tocino</vt:lpstr>
      <vt:lpstr>Megablon</vt:lpstr>
      <vt:lpstr>Escuelin</vt:lpstr>
      <vt:lpstr>Escuelin_Des</vt:lpstr>
      <vt:lpstr>Hoja1</vt:lpstr>
      <vt:lpstr>Choconax</vt:lpstr>
      <vt:lpstr>Mantequilla</vt:lpstr>
      <vt:lpstr>Jengibre</vt:lpstr>
      <vt:lpstr>Navideña</vt:lpstr>
      <vt:lpstr>Cuñapé</vt:lpstr>
      <vt:lpstr>Resumen</vt:lpstr>
      <vt:lpstr>PT</vt:lpstr>
      <vt:lpstr>Choconax!Área_de_impresión</vt:lpstr>
      <vt:lpstr>Cuñapé!Área_de_impresión</vt:lpstr>
      <vt:lpstr>Escuelin!Área_de_impresión</vt:lpstr>
      <vt:lpstr>Escuelin_Des!Área_de_impresión</vt:lpstr>
      <vt:lpstr>Megablon!Área_de_impresión</vt:lpstr>
      <vt:lpstr>Nacho!Área_de_impresión</vt:lpstr>
      <vt:lpstr>Papa!Área_de_impresión</vt:lpstr>
      <vt:lpstr>Pipa!Área_de_impresión</vt:lpstr>
      <vt:lpstr>Resumen!Área_de_impresión</vt:lpstr>
      <vt:lpstr>Resumen!Títulos_a_imprimir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jorge Rodriguez</cp:lastModifiedBy>
  <cp:lastPrinted>2024-09-17T21:55:35Z</cp:lastPrinted>
  <dcterms:created xsi:type="dcterms:W3CDTF">2021-08-09T16:15:40Z</dcterms:created>
  <dcterms:modified xsi:type="dcterms:W3CDTF">2024-10-14T19:15:43Z</dcterms:modified>
</cp:coreProperties>
</file>