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Users\Sistema\Documents\GitHub\cuadrosxxx\jycboliviaASP.net\jycboliviaASP.net\DocumentosRefencia\planillaEstimacionCostos\"/>
    </mc:Choice>
  </mc:AlternateContent>
  <bookViews>
    <workbookView xWindow="0" yWindow="0" windowWidth="20490" windowHeight="7755"/>
  </bookViews>
  <sheets>
    <sheet name="PLANILLA DE COSTOS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25" i="1"/>
  <c r="C7" i="1"/>
  <c r="C22" i="1"/>
  <c r="C38" i="1"/>
  <c r="D38" i="1"/>
  <c r="C34" i="1"/>
  <c r="D34" i="1"/>
  <c r="C36" i="1"/>
  <c r="D36" i="1"/>
  <c r="C41" i="1"/>
  <c r="D41" i="1"/>
  <c r="C40" i="1"/>
  <c r="C35" i="1"/>
  <c r="C33" i="1"/>
  <c r="C29" i="1"/>
  <c r="C28" i="1"/>
  <c r="C23" i="1"/>
  <c r="C24" i="1"/>
  <c r="I8" i="1"/>
  <c r="C37" i="1"/>
  <c r="D37" i="1"/>
  <c r="I9" i="1"/>
  <c r="J9" i="1"/>
  <c r="D24" i="1"/>
  <c r="C39" i="1"/>
  <c r="D39" i="1"/>
  <c r="D35" i="1"/>
  <c r="D33" i="1"/>
  <c r="I28" i="1"/>
  <c r="I27" i="1"/>
  <c r="I26" i="1"/>
  <c r="D29" i="1"/>
  <c r="I25" i="1"/>
  <c r="D28" i="1"/>
  <c r="I24" i="1"/>
  <c r="I23" i="1"/>
  <c r="D25" i="1"/>
  <c r="I22" i="1"/>
  <c r="I21" i="1"/>
  <c r="D23" i="1"/>
  <c r="I20" i="1"/>
  <c r="C30" i="1"/>
  <c r="J12" i="1"/>
  <c r="J11" i="1"/>
  <c r="I10" i="1"/>
  <c r="J8" i="1"/>
  <c r="I7" i="1"/>
  <c r="J7" i="1"/>
  <c r="I13" i="1"/>
  <c r="C27" i="1"/>
  <c r="D27" i="1"/>
  <c r="D22" i="1"/>
  <c r="C32" i="1"/>
  <c r="D32" i="1"/>
  <c r="J10" i="1"/>
  <c r="J13" i="1"/>
  <c r="C31" i="1"/>
  <c r="C42" i="1"/>
  <c r="D42" i="1"/>
  <c r="D30" i="1"/>
  <c r="J19" i="1"/>
  <c r="I19" i="1"/>
  <c r="J17" i="1"/>
  <c r="I17" i="1"/>
  <c r="D40" i="1"/>
  <c r="D31" i="1"/>
  <c r="J14" i="1"/>
  <c r="J18" i="1"/>
  <c r="I18" i="1"/>
  <c r="I29" i="1"/>
  <c r="C26" i="1"/>
  <c r="I14" i="1"/>
  <c r="J29" i="1"/>
  <c r="D26" i="1"/>
  <c r="C43" i="1"/>
  <c r="D43" i="1"/>
</calcChain>
</file>

<file path=xl/comments1.xml><?xml version="1.0" encoding="utf-8"?>
<comments xmlns="http://schemas.openxmlformats.org/spreadsheetml/2006/main">
  <authors>
    <author>SANTIAGO</author>
  </authors>
  <commentList>
    <comment ref="C6" authorId="0" shapeId="0">
      <text>
        <r>
          <rPr>
            <b/>
            <sz val="8"/>
            <color indexed="81"/>
            <rFont val="Tahoma"/>
            <family val="2"/>
          </rPr>
          <t>SANTIAGO:</t>
        </r>
        <r>
          <rPr>
            <sz val="8"/>
            <color indexed="81"/>
            <rFont val="Tahoma"/>
            <family val="2"/>
          </rPr>
          <t xml:space="preserve">
PARA ESTIMADO DE GASTOS POR IMPUESTOS
</t>
        </r>
      </text>
    </comment>
    <comment ref="C10" authorId="0" shapeId="0">
      <text>
        <r>
          <rPr>
            <b/>
            <sz val="8"/>
            <color indexed="81"/>
            <rFont val="Tahoma"/>
            <family val="2"/>
          </rPr>
          <t>SANTIAGO:</t>
        </r>
        <r>
          <rPr>
            <sz val="8"/>
            <color indexed="81"/>
            <rFont val="Tahoma"/>
            <family val="2"/>
          </rPr>
          <t xml:space="preserve">
OPCIONES:
COCHABAMBA
LA PAZ
SANTA CRUZ
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>SANTIAGO:</t>
        </r>
        <r>
          <rPr>
            <sz val="8"/>
            <color indexed="81"/>
            <rFont val="Tahoma"/>
            <family val="2"/>
          </rPr>
          <t xml:space="preserve">
OPCIONES:
COCHABAMBA
LA PAZ
SANTA CRUZ
</t>
        </r>
      </text>
    </comment>
    <comment ref="C12" authorId="0" shapeId="0">
      <text>
        <r>
          <rPr>
            <b/>
            <sz val="8"/>
            <color indexed="81"/>
            <rFont val="Tahoma"/>
            <family val="2"/>
          </rPr>
          <t>SANTIAGO:</t>
        </r>
        <r>
          <rPr>
            <sz val="8"/>
            <color indexed="81"/>
            <rFont val="Tahoma"/>
            <family val="2"/>
          </rPr>
          <t xml:space="preserve">
SANTIAGO:
OPCIONES
LA PAZ
COCHABAMBA
SANTA CRUZ
EL ALTO
ORURO
TARIJA
POTOSI
SUCRE
</t>
        </r>
      </text>
    </comment>
    <comment ref="C18" authorId="0" shapeId="0">
      <text>
        <r>
          <rPr>
            <b/>
            <sz val="8"/>
            <color indexed="81"/>
            <rFont val="Tahoma"/>
            <family val="2"/>
          </rPr>
          <t>SANTIAGO:</t>
        </r>
        <r>
          <rPr>
            <sz val="8"/>
            <color indexed="81"/>
            <rFont val="Tahoma"/>
            <family val="2"/>
          </rPr>
          <t xml:space="preserve">
OPCIONES:
ORONA
BLT
HIDRAL</t>
        </r>
      </text>
    </comment>
    <comment ref="C24" authorId="0" shapeId="0">
      <text>
        <r>
          <rPr>
            <b/>
            <sz val="8"/>
            <color indexed="81"/>
            <rFont val="Tahoma"/>
            <family val="2"/>
          </rPr>
          <t>SANTIAGO:</t>
        </r>
        <r>
          <rPr>
            <sz val="8"/>
            <color indexed="81"/>
            <rFont val="Tahoma"/>
            <family val="2"/>
          </rPr>
          <t xml:space="preserve">
REVISAR EL PRORRATEO, PONE UN MONTO MUY BAJO
</t>
        </r>
      </text>
    </comment>
    <comment ref="C31" authorId="0" shapeId="0">
      <text>
        <r>
          <rPr>
            <b/>
            <sz val="8"/>
            <color indexed="81"/>
            <rFont val="Tahoma"/>
            <family val="2"/>
          </rPr>
          <t xml:space="preserve">SANTIAGO
INSTALADOR NIVEL 2
</t>
        </r>
      </text>
    </comment>
    <comment ref="C33" authorId="0" shapeId="0">
      <text>
        <r>
          <rPr>
            <b/>
            <sz val="8"/>
            <color indexed="81"/>
            <rFont val="Tahoma"/>
            <family val="2"/>
          </rPr>
          <t>SANTIAGO:</t>
        </r>
        <r>
          <rPr>
            <sz val="8"/>
            <color indexed="81"/>
            <rFont val="Tahoma"/>
            <family val="2"/>
          </rPr>
          <t xml:space="preserve">
SI ES LA PAZ, SCZ350
ORURO 50 
EL ALTO 50
ORURO 50
CONOSUD 50 
CBBA SI LLEGA A 10 SON 100 DOLARES</t>
        </r>
      </text>
    </comment>
    <comment ref="C34" authorId="0" shapeId="0">
      <text>
        <r>
          <rPr>
            <b/>
            <sz val="8"/>
            <color indexed="81"/>
            <rFont val="Tahoma"/>
            <family val="2"/>
          </rPr>
          <t>SANTIAGO:</t>
        </r>
        <r>
          <rPr>
            <sz val="8"/>
            <color indexed="81"/>
            <rFont val="Tahoma"/>
            <family val="2"/>
          </rPr>
          <t xml:space="preserve">
LISBETH CONSULTAR
LPZ 50
SCZ 50
CONOSUD 30 
</t>
        </r>
      </text>
    </comment>
    <comment ref="C35" authorId="0" shapeId="0">
      <text>
        <r>
          <rPr>
            <b/>
            <sz val="8"/>
            <color indexed="81"/>
            <rFont val="Tahoma"/>
            <family val="2"/>
          </rPr>
          <t>SANTIAGO:</t>
        </r>
        <r>
          <rPr>
            <sz val="8"/>
            <color indexed="81"/>
            <rFont val="Tahoma"/>
            <family val="2"/>
          </rPr>
          <t xml:space="preserve">
COMISION DE FISCAL ES 50
JEFE DE PROYECTOS 30</t>
        </r>
      </text>
    </comment>
  </commentList>
</comments>
</file>

<file path=xl/sharedStrings.xml><?xml version="1.0" encoding="utf-8"?>
<sst xmlns="http://schemas.openxmlformats.org/spreadsheetml/2006/main" count="82" uniqueCount="77">
  <si>
    <t>PLANILLA DE ESTIMACION DE COSTOS</t>
  </si>
  <si>
    <t>DATOS</t>
  </si>
  <si>
    <t>MONTO</t>
  </si>
  <si>
    <t>VALOR CONTRATO</t>
  </si>
  <si>
    <t>Detalle Contrato Compra/Venta</t>
  </si>
  <si>
    <t>$us</t>
  </si>
  <si>
    <t>Bs.</t>
  </si>
  <si>
    <t>COMISION</t>
  </si>
  <si>
    <t>INSTALACION</t>
  </si>
  <si>
    <t>Valor FOB</t>
  </si>
  <si>
    <t>PARADAS</t>
  </si>
  <si>
    <t>ORONA</t>
  </si>
  <si>
    <t>BLT</t>
  </si>
  <si>
    <t>COCHABAMBA</t>
  </si>
  <si>
    <t>Seguro</t>
  </si>
  <si>
    <t>CONTENEDORES NECESARIO</t>
  </si>
  <si>
    <t>Otras Erogaciones</t>
  </si>
  <si>
    <t>NUM DE EQUIPOS DE OTROS PROYECTOS EN CONTENEDORES</t>
  </si>
  <si>
    <t>Otros Gastos</t>
  </si>
  <si>
    <t>PESO (KG)</t>
  </si>
  <si>
    <t>CIF FRONTERA</t>
  </si>
  <si>
    <t>CIF ADUANA</t>
  </si>
  <si>
    <t>NUMERO DE EQUIPOS</t>
  </si>
  <si>
    <t>NUMERO DE PARADAS</t>
  </si>
  <si>
    <t>Detalle Planilla</t>
  </si>
  <si>
    <t>MARCA</t>
  </si>
  <si>
    <t>G.A. (5%)</t>
  </si>
  <si>
    <t>I.V.A. (14.94%)</t>
  </si>
  <si>
    <t>COSTO ESTIMADO</t>
  </si>
  <si>
    <t>MONTO USD</t>
  </si>
  <si>
    <t>MONTO BS</t>
  </si>
  <si>
    <t>Recinto Aduanero</t>
  </si>
  <si>
    <t>Transporte Urbano</t>
  </si>
  <si>
    <t>SEGURO</t>
  </si>
  <si>
    <t>Cámara de Industria</t>
  </si>
  <si>
    <t>SENASAG</t>
  </si>
  <si>
    <t>TRANSPORTE MARITIMO</t>
  </si>
  <si>
    <t>Descarguio/Manipuleo</t>
  </si>
  <si>
    <t>Formulario Aduanero</t>
  </si>
  <si>
    <t>MSC</t>
  </si>
  <si>
    <t>Carpeta Aduanera</t>
  </si>
  <si>
    <t>ASPB</t>
  </si>
  <si>
    <t>Control de Tránsito (Frontera)</t>
  </si>
  <si>
    <t>COMISION INSTALACION</t>
  </si>
  <si>
    <t>Gastos de Puerto</t>
  </si>
  <si>
    <t>GASTOS INSTALACION (1.5% FOB)</t>
  </si>
  <si>
    <t>TOTAL PLANILLA</t>
  </si>
  <si>
    <t>TRANSPORTE LOCAL (1.5% FOB)</t>
  </si>
  <si>
    <t>GIROS BANCARIOS</t>
  </si>
  <si>
    <t>TRANSPORTE TERRESTRE</t>
  </si>
  <si>
    <t>TOTAL COSTOS ESTIMADOS</t>
  </si>
  <si>
    <t>VALOR FOB</t>
  </si>
  <si>
    <t>TRANSPORTE MARITIMO PRECIO POR CONTENEDOR</t>
  </si>
  <si>
    <t>SANTA CRUZ</t>
  </si>
  <si>
    <t>FOB</t>
  </si>
  <si>
    <t>ADUANA</t>
  </si>
  <si>
    <t>AGENCIA ADUANERA</t>
  </si>
  <si>
    <t>COMISION EN VENTAS A GUN</t>
  </si>
  <si>
    <t>COMISION EN VENTAS A AVE</t>
  </si>
  <si>
    <t>COMISION DE VENTAS NACIONAL</t>
  </si>
  <si>
    <t>GASTOS POR IVA</t>
  </si>
  <si>
    <t>GASTOS POR IT</t>
  </si>
  <si>
    <t>FLETE 1</t>
  </si>
  <si>
    <t>FLETE 2</t>
  </si>
  <si>
    <t>IMPORTACION DIRECTA (SI/NO)</t>
  </si>
  <si>
    <t>T.C. BOLIVIANO/DÓLAR</t>
  </si>
  <si>
    <t>CIUDAD DE DESTINO PARA NACIONALIZACION</t>
  </si>
  <si>
    <t>CIUDAD QUE VENDIO EL EQUIPO PARA COMISIONES</t>
  </si>
  <si>
    <t>CIUDAD DE INSTALACION PARA COMISIONES</t>
  </si>
  <si>
    <t>NO</t>
  </si>
  <si>
    <t>COMISION DE JEFE DE PROYECTOS</t>
  </si>
  <si>
    <t>GASTOS POR RETENCIONES DE INSTALADORES</t>
  </si>
  <si>
    <t>COMISION DE FISCAL DE LOGISTICA</t>
  </si>
  <si>
    <t>COMISION DE FISCAL DE PROYECTOS</t>
  </si>
  <si>
    <t>haber costos estimados 1152 tomando en cuenta la variable</t>
  </si>
  <si>
    <t>variable del proyecto</t>
  </si>
  <si>
    <t>XBO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</si>
</sst>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b/>
      <sz val="10"/>
      <color theme="0"/>
      <name val="Arial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43" fontId="3" fillId="2" borderId="1" xfId="1" applyFont="1" applyFill="1" applyBorder="1"/>
    <xf numFmtId="0" fontId="1" fillId="0" borderId="1" xfId="0" applyFont="1" applyBorder="1"/>
    <xf numFmtId="43" fontId="0" fillId="0" borderId="1" xfId="1" applyFont="1" applyBorder="1"/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5" fillId="0" borderId="9" xfId="0" applyNumberFormat="1" applyFont="1" applyBorder="1" applyAlignment="1">
      <alignment horizontal="right"/>
    </xf>
    <xf numFmtId="4" fontId="5" fillId="0" borderId="0" xfId="0" applyNumberFormat="1" applyFont="1" applyBorder="1" applyAlignment="1">
      <alignment horizontal="right"/>
    </xf>
    <xf numFmtId="4" fontId="5" fillId="0" borderId="12" xfId="0" applyNumberFormat="1" applyFont="1" applyBorder="1" applyAlignment="1">
      <alignment horizontal="right"/>
    </xf>
    <xf numFmtId="0" fontId="0" fillId="0" borderId="1" xfId="0" applyBorder="1"/>
    <xf numFmtId="4" fontId="4" fillId="0" borderId="5" xfId="0" applyNumberFormat="1" applyFont="1" applyBorder="1" applyAlignment="1">
      <alignment horizontal="center"/>
    </xf>
    <xf numFmtId="4" fontId="4" fillId="0" borderId="4" xfId="0" applyNumberFormat="1" applyFont="1" applyBorder="1" applyAlignment="1">
      <alignment horizontal="right"/>
    </xf>
    <xf numFmtId="4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4" fontId="4" fillId="0" borderId="0" xfId="0" applyNumberFormat="1" applyFont="1" applyBorder="1"/>
    <xf numFmtId="43" fontId="1" fillId="0" borderId="1" xfId="1" applyFont="1" applyBorder="1"/>
    <xf numFmtId="43" fontId="0" fillId="0" borderId="0" xfId="1" applyFont="1"/>
    <xf numFmtId="43" fontId="0" fillId="0" borderId="0" xfId="0" applyNumberFormat="1"/>
    <xf numFmtId="43" fontId="0" fillId="0" borderId="1" xfId="1" applyFont="1" applyFill="1" applyBorder="1"/>
    <xf numFmtId="0" fontId="4" fillId="0" borderId="2" xfId="0" applyFont="1" applyBorder="1"/>
    <xf numFmtId="0" fontId="4" fillId="0" borderId="3" xfId="0" applyFont="1" applyBorder="1"/>
    <xf numFmtId="4" fontId="4" fillId="0" borderId="3" xfId="0" applyNumberFormat="1" applyFont="1" applyBorder="1"/>
    <xf numFmtId="4" fontId="4" fillId="0" borderId="0" xfId="0" applyNumberFormat="1" applyFont="1" applyBorder="1" applyAlignment="1">
      <alignment horizontal="center"/>
    </xf>
    <xf numFmtId="0" fontId="1" fillId="0" borderId="16" xfId="0" applyFont="1" applyBorder="1"/>
    <xf numFmtId="43" fontId="0" fillId="0" borderId="16" xfId="1" applyFont="1" applyBorder="1"/>
    <xf numFmtId="0" fontId="6" fillId="0" borderId="17" xfId="0" applyFont="1" applyBorder="1"/>
    <xf numFmtId="43" fontId="6" fillId="0" borderId="19" xfId="1" applyFont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0" borderId="16" xfId="0" applyFont="1" applyBorder="1"/>
    <xf numFmtId="0" fontId="0" fillId="0" borderId="1" xfId="1" applyNumberFormat="1" applyFont="1" applyBorder="1"/>
    <xf numFmtId="0" fontId="0" fillId="0" borderId="1" xfId="0" applyFill="1" applyBorder="1"/>
    <xf numFmtId="4" fontId="5" fillId="0" borderId="9" xfId="0" applyNumberFormat="1" applyFont="1" applyFill="1" applyBorder="1" applyAlignment="1">
      <alignment horizontal="right"/>
    </xf>
    <xf numFmtId="4" fontId="5" fillId="0" borderId="12" xfId="0" applyNumberFormat="1" applyFont="1" applyFill="1" applyBorder="1" applyAlignment="1">
      <alignment horizontal="right"/>
    </xf>
    <xf numFmtId="0" fontId="5" fillId="0" borderId="1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43" fontId="0" fillId="3" borderId="1" xfId="1" applyFont="1" applyFill="1" applyBorder="1"/>
    <xf numFmtId="43" fontId="1" fillId="3" borderId="1" xfId="1" applyFont="1" applyFill="1" applyBorder="1"/>
    <xf numFmtId="43" fontId="0" fillId="3" borderId="16" xfId="1" applyFont="1" applyFill="1" applyBorder="1"/>
    <xf numFmtId="43" fontId="6" fillId="3" borderId="18" xfId="1" applyFont="1" applyFill="1" applyBorder="1"/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46"/>
  <sheetViews>
    <sheetView tabSelected="1" zoomScale="85" zoomScaleNormal="85" zoomScalePageLayoutView="150" workbookViewId="0">
      <selection activeCell="C7" sqref="C7"/>
    </sheetView>
  </sheetViews>
  <sheetFormatPr baseColWidth="10" defaultRowHeight="12.75" x14ac:dyDescent="0.2"/>
  <cols>
    <col min="1" max="1" width="3.42578125" customWidth="1"/>
    <col min="2" max="2" width="60" bestFit="1" customWidth="1"/>
    <col min="3" max="3" width="14.28515625" bestFit="1" customWidth="1"/>
    <col min="4" max="4" width="11.28515625" bestFit="1" customWidth="1"/>
    <col min="5" max="5" width="3.85546875" customWidth="1"/>
    <col min="6" max="6" width="20.7109375" customWidth="1"/>
    <col min="11" max="11" width="4.28515625" customWidth="1"/>
    <col min="12" max="12" width="10" bestFit="1" customWidth="1"/>
    <col min="13" max="13" width="10.140625" bestFit="1" customWidth="1"/>
    <col min="14" max="14" width="13.28515625" bestFit="1" customWidth="1"/>
  </cols>
  <sheetData>
    <row r="2" spans="2:14" ht="18" x14ac:dyDescent="0.25">
      <c r="B2" s="1" t="s">
        <v>0</v>
      </c>
      <c r="D2">
        <v>1152</v>
      </c>
    </row>
    <row r="3" spans="2:14" x14ac:dyDescent="0.2">
      <c r="B3" t="s">
        <v>75</v>
      </c>
    </row>
    <row r="4" spans="2:14" x14ac:dyDescent="0.2">
      <c r="B4" t="s">
        <v>76</v>
      </c>
    </row>
    <row r="5" spans="2:14" ht="13.5" thickBot="1" x14ac:dyDescent="0.25">
      <c r="B5" s="2" t="s">
        <v>1</v>
      </c>
      <c r="C5" s="3" t="s">
        <v>2</v>
      </c>
    </row>
    <row r="6" spans="2:14" ht="15" thickBot="1" x14ac:dyDescent="0.3">
      <c r="B6" s="4" t="s">
        <v>3</v>
      </c>
      <c r="C6" s="5">
        <v>51901</v>
      </c>
      <c r="F6" s="52" t="s">
        <v>4</v>
      </c>
      <c r="G6" s="53"/>
      <c r="H6" s="54"/>
      <c r="I6" s="6" t="s">
        <v>5</v>
      </c>
      <c r="J6" s="7" t="s">
        <v>6</v>
      </c>
      <c r="K6" s="8"/>
      <c r="L6" s="12"/>
      <c r="M6" s="4" t="s">
        <v>7</v>
      </c>
      <c r="N6" s="30" t="s">
        <v>8</v>
      </c>
    </row>
    <row r="7" spans="2:14" ht="15" thickBot="1" x14ac:dyDescent="0.3">
      <c r="B7" s="32" t="s">
        <v>51</v>
      </c>
      <c r="C7" s="5">
        <f>10570.94*2*1.13</f>
        <v>23890.324399999998</v>
      </c>
      <c r="F7" s="55" t="s">
        <v>9</v>
      </c>
      <c r="G7" s="56"/>
      <c r="H7" s="57"/>
      <c r="I7" s="37">
        <f>+C7</f>
        <v>23890.324399999998</v>
      </c>
      <c r="J7" s="37">
        <f t="shared" ref="J7:J12" si="0">+I7*6.96</f>
        <v>166276.65782399999</v>
      </c>
      <c r="K7" s="10"/>
      <c r="L7" s="4" t="s">
        <v>10</v>
      </c>
      <c r="M7" s="4" t="s">
        <v>11</v>
      </c>
      <c r="N7" s="4" t="s">
        <v>12</v>
      </c>
    </row>
    <row r="8" spans="2:14" ht="15" thickBot="1" x14ac:dyDescent="0.3">
      <c r="B8" s="32" t="s">
        <v>52</v>
      </c>
      <c r="C8" s="5">
        <f>3000*1.13</f>
        <v>3389.9999999999995</v>
      </c>
      <c r="F8" s="58" t="s">
        <v>62</v>
      </c>
      <c r="G8" s="59"/>
      <c r="H8" s="60"/>
      <c r="I8" s="38">
        <f>+C24</f>
        <v>1050</v>
      </c>
      <c r="J8" s="37">
        <f t="shared" si="0"/>
        <v>7308</v>
      </c>
      <c r="K8" s="10"/>
      <c r="L8" s="12">
        <v>1</v>
      </c>
      <c r="M8" s="12">
        <v>350</v>
      </c>
      <c r="N8" s="12">
        <v>491</v>
      </c>
    </row>
    <row r="9" spans="2:14" ht="15" thickBot="1" x14ac:dyDescent="0.3">
      <c r="B9" s="32" t="s">
        <v>65</v>
      </c>
      <c r="C9" s="5">
        <v>6.96</v>
      </c>
      <c r="F9" s="39" t="s">
        <v>63</v>
      </c>
      <c r="G9" s="40"/>
      <c r="H9" s="41"/>
      <c r="I9" s="38">
        <f>+C25</f>
        <v>2259.9999999999995</v>
      </c>
      <c r="J9" s="37">
        <f t="shared" si="0"/>
        <v>15729.599999999997</v>
      </c>
      <c r="K9" s="10"/>
      <c r="L9" s="12">
        <v>2</v>
      </c>
      <c r="M9" s="12">
        <v>400</v>
      </c>
      <c r="N9" s="12">
        <v>556</v>
      </c>
    </row>
    <row r="10" spans="2:14" ht="15" thickBot="1" x14ac:dyDescent="0.3">
      <c r="B10" s="12" t="s">
        <v>66</v>
      </c>
      <c r="C10" s="12" t="s">
        <v>53</v>
      </c>
      <c r="F10" s="58" t="s">
        <v>14</v>
      </c>
      <c r="G10" s="59"/>
      <c r="H10" s="60"/>
      <c r="I10" s="38">
        <f>+C23</f>
        <v>107.12236247999999</v>
      </c>
      <c r="J10" s="37">
        <f t="shared" si="0"/>
        <v>745.5716428607999</v>
      </c>
      <c r="K10" s="10"/>
      <c r="L10" s="12">
        <v>3</v>
      </c>
      <c r="M10" s="12">
        <v>450</v>
      </c>
      <c r="N10" s="12">
        <v>621</v>
      </c>
    </row>
    <row r="11" spans="2:14" ht="15" thickBot="1" x14ac:dyDescent="0.3">
      <c r="B11" s="12" t="s">
        <v>67</v>
      </c>
      <c r="C11" s="12" t="s">
        <v>53</v>
      </c>
      <c r="F11" s="58" t="s">
        <v>16</v>
      </c>
      <c r="G11" s="59"/>
      <c r="H11" s="60"/>
      <c r="I11" s="38"/>
      <c r="J11" s="37">
        <f t="shared" si="0"/>
        <v>0</v>
      </c>
      <c r="K11" s="10"/>
      <c r="L11" s="12">
        <v>4</v>
      </c>
      <c r="M11" s="12">
        <v>500</v>
      </c>
      <c r="N11" s="12">
        <v>686</v>
      </c>
    </row>
    <row r="12" spans="2:14" ht="15" thickBot="1" x14ac:dyDescent="0.3">
      <c r="B12" s="12" t="s">
        <v>68</v>
      </c>
      <c r="C12" s="12" t="s">
        <v>13</v>
      </c>
      <c r="F12" s="49" t="s">
        <v>18</v>
      </c>
      <c r="G12" s="50"/>
      <c r="H12" s="51"/>
      <c r="I12" s="11"/>
      <c r="J12" s="9">
        <f t="shared" si="0"/>
        <v>0</v>
      </c>
      <c r="K12" s="15"/>
      <c r="L12" s="12">
        <v>5</v>
      </c>
      <c r="M12" s="12">
        <v>550</v>
      </c>
      <c r="N12" s="12">
        <v>751</v>
      </c>
    </row>
    <row r="13" spans="2:14" ht="15" thickBot="1" x14ac:dyDescent="0.3">
      <c r="B13" s="4" t="s">
        <v>15</v>
      </c>
      <c r="C13" s="12">
        <v>1</v>
      </c>
      <c r="F13" s="61" t="s">
        <v>20</v>
      </c>
      <c r="G13" s="62"/>
      <c r="H13" s="63"/>
      <c r="I13" s="13">
        <f>SUM(I7:I12)</f>
        <v>27307.446762479998</v>
      </c>
      <c r="J13" s="13">
        <f>SUM(J7:J12)</f>
        <v>190059.8294668608</v>
      </c>
      <c r="K13" s="15"/>
      <c r="L13" s="12">
        <v>6</v>
      </c>
      <c r="M13" s="12">
        <v>600</v>
      </c>
      <c r="N13" s="12">
        <v>813</v>
      </c>
    </row>
    <row r="14" spans="2:14" ht="15" thickBot="1" x14ac:dyDescent="0.3">
      <c r="B14" s="4" t="s">
        <v>17</v>
      </c>
      <c r="C14" s="5">
        <v>2</v>
      </c>
      <c r="F14" s="61" t="s">
        <v>21</v>
      </c>
      <c r="G14" s="62"/>
      <c r="H14" s="63"/>
      <c r="I14" s="13">
        <f>I13+I12+I17</f>
        <v>28672.820325698391</v>
      </c>
      <c r="J14" s="14">
        <f>J13+J17</f>
        <v>199562.8294668608</v>
      </c>
      <c r="K14" s="17"/>
      <c r="L14" s="12">
        <v>7</v>
      </c>
      <c r="M14" s="12">
        <v>650</v>
      </c>
      <c r="N14" s="12">
        <v>878</v>
      </c>
    </row>
    <row r="15" spans="2:14" ht="15" thickBot="1" x14ac:dyDescent="0.3">
      <c r="B15" s="32" t="s">
        <v>19</v>
      </c>
      <c r="C15" s="35">
        <v>8000</v>
      </c>
      <c r="F15" s="16"/>
      <c r="G15" s="16"/>
      <c r="H15" s="16"/>
      <c r="I15" s="17"/>
      <c r="J15" s="17"/>
      <c r="K15" s="8"/>
      <c r="L15" s="12">
        <v>8</v>
      </c>
      <c r="M15" s="12">
        <v>700</v>
      </c>
      <c r="N15" s="12">
        <v>943</v>
      </c>
    </row>
    <row r="16" spans="2:14" ht="15" thickBot="1" x14ac:dyDescent="0.3">
      <c r="B16" s="4" t="s">
        <v>22</v>
      </c>
      <c r="C16" s="5">
        <v>4</v>
      </c>
      <c r="F16" s="52" t="s">
        <v>24</v>
      </c>
      <c r="G16" s="53"/>
      <c r="H16" s="54"/>
      <c r="I16" s="6" t="s">
        <v>5</v>
      </c>
      <c r="J16" s="7" t="s">
        <v>6</v>
      </c>
      <c r="K16" s="10"/>
      <c r="L16" s="12">
        <v>9</v>
      </c>
      <c r="M16" s="12">
        <v>750</v>
      </c>
      <c r="N16" s="12">
        <v>1008</v>
      </c>
    </row>
    <row r="17" spans="2:14" ht="15" thickBot="1" x14ac:dyDescent="0.3">
      <c r="B17" s="4" t="s">
        <v>23</v>
      </c>
      <c r="C17" s="5">
        <v>6</v>
      </c>
      <c r="F17" s="64" t="s">
        <v>26</v>
      </c>
      <c r="G17" s="65"/>
      <c r="H17" s="66"/>
      <c r="I17" s="9">
        <f>+J17/6.96</f>
        <v>1365.3735632183907</v>
      </c>
      <c r="J17" s="9">
        <f>ROUND((J13*5%),0)</f>
        <v>9503</v>
      </c>
      <c r="K17" s="10"/>
      <c r="L17" s="12">
        <v>10</v>
      </c>
      <c r="M17" s="12">
        <v>800</v>
      </c>
      <c r="N17" s="12">
        <v>1073</v>
      </c>
    </row>
    <row r="18" spans="2:14" ht="15" thickBot="1" x14ac:dyDescent="0.3">
      <c r="B18" s="4" t="s">
        <v>25</v>
      </c>
      <c r="C18" s="18" t="s">
        <v>11</v>
      </c>
      <c r="D18" s="33"/>
      <c r="F18" s="46" t="s">
        <v>27</v>
      </c>
      <c r="G18" s="47"/>
      <c r="H18" s="48"/>
      <c r="I18" s="9">
        <f t="shared" ref="I18:I28" si="1">+J18/6.96</f>
        <v>4283.7643678160921</v>
      </c>
      <c r="J18" s="9">
        <f>ROUND((J14*14.94%),0)</f>
        <v>29815</v>
      </c>
      <c r="K18" s="10"/>
      <c r="L18" s="12">
        <v>11</v>
      </c>
      <c r="M18" s="12">
        <v>850</v>
      </c>
      <c r="N18" s="12">
        <v>1131</v>
      </c>
    </row>
    <row r="19" spans="2:14" ht="15" thickBot="1" x14ac:dyDescent="0.3">
      <c r="B19" s="32" t="s">
        <v>64</v>
      </c>
      <c r="C19" s="5" t="s">
        <v>69</v>
      </c>
      <c r="D19" s="33"/>
      <c r="F19" s="46" t="s">
        <v>31</v>
      </c>
      <c r="G19" s="47"/>
      <c r="H19" s="48"/>
      <c r="I19" s="9">
        <f t="shared" si="1"/>
        <v>185.77542525112801</v>
      </c>
      <c r="J19" s="9">
        <f>+((J13*0.08%*1)+(C15/1000)*(1.2*6.96*2))+(J13*0.53%)</f>
        <v>1292.996959747851</v>
      </c>
      <c r="K19" s="10"/>
      <c r="L19" s="12">
        <v>12</v>
      </c>
      <c r="M19" s="12">
        <v>900</v>
      </c>
      <c r="N19" s="12">
        <v>1196</v>
      </c>
    </row>
    <row r="20" spans="2:14" ht="15" thickBot="1" x14ac:dyDescent="0.3">
      <c r="C20" s="19"/>
      <c r="D20" s="33"/>
      <c r="F20" s="46" t="s">
        <v>32</v>
      </c>
      <c r="G20" s="47"/>
      <c r="H20" s="48"/>
      <c r="I20" s="9">
        <f t="shared" si="1"/>
        <v>0</v>
      </c>
      <c r="J20" s="9">
        <v>0</v>
      </c>
      <c r="K20" s="10"/>
      <c r="L20" s="12">
        <v>13</v>
      </c>
      <c r="M20" s="12">
        <v>950</v>
      </c>
      <c r="N20" s="12">
        <v>1260</v>
      </c>
    </row>
    <row r="21" spans="2:14" ht="15" thickBot="1" x14ac:dyDescent="0.3">
      <c r="B21" s="2" t="s">
        <v>28</v>
      </c>
      <c r="C21" s="3" t="s">
        <v>29</v>
      </c>
      <c r="D21" s="2" t="s">
        <v>30</v>
      </c>
      <c r="F21" s="46" t="s">
        <v>34</v>
      </c>
      <c r="G21" s="47"/>
      <c r="H21" s="48"/>
      <c r="I21" s="9">
        <f t="shared" si="1"/>
        <v>0</v>
      </c>
      <c r="J21" s="9">
        <v>0</v>
      </c>
      <c r="K21" s="10"/>
      <c r="L21" s="4">
        <v>14</v>
      </c>
      <c r="M21" s="12">
        <v>1000</v>
      </c>
      <c r="N21" s="12">
        <v>1325</v>
      </c>
    </row>
    <row r="22" spans="2:14" ht="15" thickBot="1" x14ac:dyDescent="0.3">
      <c r="B22" s="21" t="s">
        <v>54</v>
      </c>
      <c r="C22" s="42">
        <f>+C7</f>
        <v>23890.324399999998</v>
      </c>
      <c r="D22" s="5">
        <f t="shared" ref="D22:D34" si="2">+C22*6.96</f>
        <v>166276.65782399999</v>
      </c>
      <c r="F22" s="46" t="s">
        <v>35</v>
      </c>
      <c r="G22" s="47"/>
      <c r="H22" s="48"/>
      <c r="I22" s="9">
        <f t="shared" si="1"/>
        <v>0</v>
      </c>
      <c r="J22" s="9">
        <v>0</v>
      </c>
      <c r="K22" s="10"/>
      <c r="L22" s="4">
        <v>15</v>
      </c>
      <c r="M22" s="12">
        <v>1050</v>
      </c>
      <c r="N22" s="12">
        <v>1391</v>
      </c>
    </row>
    <row r="23" spans="2:14" ht="15" thickBot="1" x14ac:dyDescent="0.3">
      <c r="B23" s="12" t="s">
        <v>33</v>
      </c>
      <c r="C23" s="42">
        <f>+(C7+C8*C13/(C16+C14)++IF(C10="COCHABAMBA",(1500*C13-1500/4*C14),IF(C10="LA PAZ",(1250*C13-1250/4*C14),IF(C10="SANTA CRUZ",(2100*C13-2100/4*C14),"Escoja COCHABAMBA, LA PAZ o SANTA CRUZ"))))*1.05*0.004</f>
        <v>107.12236247999999</v>
      </c>
      <c r="D23" s="5">
        <f t="shared" si="2"/>
        <v>745.5716428607999</v>
      </c>
      <c r="F23" s="46" t="s">
        <v>37</v>
      </c>
      <c r="G23" s="47"/>
      <c r="H23" s="48"/>
      <c r="I23" s="9">
        <f t="shared" si="1"/>
        <v>0</v>
      </c>
      <c r="J23" s="9">
        <v>0</v>
      </c>
      <c r="K23" s="10"/>
      <c r="L23" s="4">
        <v>16</v>
      </c>
      <c r="M23" s="12">
        <v>1100</v>
      </c>
      <c r="N23" s="12">
        <v>1456</v>
      </c>
    </row>
    <row r="24" spans="2:14" ht="15" thickBot="1" x14ac:dyDescent="0.3">
      <c r="B24" s="12" t="s">
        <v>49</v>
      </c>
      <c r="C24" s="42">
        <f>+IF(C10="COCHABAMBA",(1500*C13-1500*(16000-C15)/16000),IF(C10="LA PAZ",(1250*C13-1250*(16000-C15)/16000),IF(C10="SANTA CRUZ",(2100*C13-2100*(16000-C15)/16000),"Escoja COCHABAMBA, LA PAZ o SANTA CRUZ")))</f>
        <v>1050</v>
      </c>
      <c r="D24" s="5">
        <f t="shared" si="2"/>
        <v>7308</v>
      </c>
      <c r="F24" s="46" t="s">
        <v>38</v>
      </c>
      <c r="G24" s="47"/>
      <c r="H24" s="48"/>
      <c r="I24" s="9">
        <f t="shared" si="1"/>
        <v>7.1839080459770113</v>
      </c>
      <c r="J24" s="9">
        <v>50</v>
      </c>
      <c r="K24" s="10"/>
      <c r="L24" s="4">
        <v>17</v>
      </c>
      <c r="M24" s="12">
        <v>1150</v>
      </c>
      <c r="N24" s="12">
        <v>1521</v>
      </c>
    </row>
    <row r="25" spans="2:14" ht="15" thickBot="1" x14ac:dyDescent="0.3">
      <c r="B25" s="4" t="s">
        <v>36</v>
      </c>
      <c r="C25" s="42">
        <f>+C8*C13/(C16+C14)*C16</f>
        <v>2259.9999999999995</v>
      </c>
      <c r="D25" s="5">
        <f t="shared" si="2"/>
        <v>15729.599999999997</v>
      </c>
      <c r="F25" s="46" t="s">
        <v>40</v>
      </c>
      <c r="G25" s="47"/>
      <c r="H25" s="48"/>
      <c r="I25" s="9">
        <f t="shared" si="1"/>
        <v>7.6149425287356323</v>
      </c>
      <c r="J25" s="9">
        <v>53</v>
      </c>
      <c r="K25" s="10"/>
      <c r="L25" s="4">
        <v>18</v>
      </c>
      <c r="M25" s="12">
        <v>1200</v>
      </c>
      <c r="N25" s="12">
        <v>1592</v>
      </c>
    </row>
    <row r="26" spans="2:14" ht="15" thickBot="1" x14ac:dyDescent="0.3">
      <c r="B26" s="36" t="s">
        <v>55</v>
      </c>
      <c r="C26" s="43">
        <f>+IF(C19="SI",I29,I29-I18)</f>
        <v>1565.9478390442309</v>
      </c>
      <c r="D26" s="5">
        <f t="shared" si="2"/>
        <v>10898.996959747847</v>
      </c>
      <c r="F26" s="46" t="s">
        <v>42</v>
      </c>
      <c r="G26" s="47"/>
      <c r="H26" s="48"/>
      <c r="I26" s="9">
        <f t="shared" si="1"/>
        <v>0</v>
      </c>
      <c r="J26" s="9">
        <v>0</v>
      </c>
      <c r="K26" s="10"/>
      <c r="L26" s="4">
        <v>19</v>
      </c>
      <c r="M26" s="12">
        <v>1250</v>
      </c>
      <c r="N26" s="12">
        <v>1662</v>
      </c>
    </row>
    <row r="27" spans="2:14" ht="15" thickBot="1" x14ac:dyDescent="0.3">
      <c r="B27" s="36" t="s">
        <v>56</v>
      </c>
      <c r="C27" s="43">
        <f>0.08*I13</f>
        <v>2184.5957409983998</v>
      </c>
      <c r="D27" s="5">
        <f t="shared" si="2"/>
        <v>15204.786357348863</v>
      </c>
      <c r="F27" s="46" t="s">
        <v>44</v>
      </c>
      <c r="G27" s="47"/>
      <c r="H27" s="48"/>
      <c r="I27" s="9">
        <f t="shared" si="1"/>
        <v>0</v>
      </c>
      <c r="J27" s="9">
        <v>0</v>
      </c>
      <c r="K27" s="10"/>
      <c r="L27" s="4">
        <v>20</v>
      </c>
      <c r="M27" s="12">
        <v>1300</v>
      </c>
      <c r="N27" s="12">
        <v>1732</v>
      </c>
    </row>
    <row r="28" spans="2:14" ht="15" thickBot="1" x14ac:dyDescent="0.3">
      <c r="B28" s="4" t="s">
        <v>39</v>
      </c>
      <c r="C28" s="42">
        <f>+(C13*500/C9)-(500/C9*(16000-C15)/16000)</f>
        <v>35.919540229885058</v>
      </c>
      <c r="D28" s="5">
        <f t="shared" si="2"/>
        <v>250</v>
      </c>
      <c r="F28" s="49" t="s">
        <v>18</v>
      </c>
      <c r="G28" s="50"/>
      <c r="H28" s="51"/>
      <c r="I28" s="9">
        <f t="shared" si="1"/>
        <v>0</v>
      </c>
      <c r="J28" s="9">
        <v>0</v>
      </c>
      <c r="K28" s="25"/>
      <c r="L28" s="4">
        <v>21</v>
      </c>
      <c r="M28" s="12">
        <v>1350</v>
      </c>
      <c r="N28" s="12">
        <v>1802</v>
      </c>
    </row>
    <row r="29" spans="2:14" ht="15" thickBot="1" x14ac:dyDescent="0.3">
      <c r="B29" s="4" t="s">
        <v>41</v>
      </c>
      <c r="C29" s="42">
        <f>+(C13*1200/C9)-(1200/C9*(16000-C15)/16000)</f>
        <v>86.206896551724142</v>
      </c>
      <c r="D29" s="5">
        <f t="shared" si="2"/>
        <v>600</v>
      </c>
      <c r="F29" s="22" t="s">
        <v>46</v>
      </c>
      <c r="G29" s="23"/>
      <c r="H29" s="24"/>
      <c r="I29" s="13">
        <f>SUM(I17:I26)</f>
        <v>5849.712206860323</v>
      </c>
      <c r="J29" s="13">
        <f>SUM(J17:J28)</f>
        <v>40713.996959747848</v>
      </c>
      <c r="L29" s="4">
        <v>22</v>
      </c>
      <c r="M29" s="12">
        <v>1400</v>
      </c>
      <c r="N29" s="12">
        <v>1873</v>
      </c>
    </row>
    <row r="30" spans="2:14" x14ac:dyDescent="0.2">
      <c r="B30" s="26" t="s">
        <v>48</v>
      </c>
      <c r="C30" s="44">
        <f>+C22*0.02</f>
        <v>477.80648799999994</v>
      </c>
      <c r="D30" s="27">
        <f>+C30*6.96</f>
        <v>3325.5331564799994</v>
      </c>
      <c r="L30" s="31">
        <v>23</v>
      </c>
      <c r="M30" s="12">
        <v>1450</v>
      </c>
      <c r="N30" s="12">
        <v>1943</v>
      </c>
    </row>
    <row r="31" spans="2:14" x14ac:dyDescent="0.2">
      <c r="B31" s="4" t="s">
        <v>43</v>
      </c>
      <c r="C31" s="42">
        <f>+IF(C18="ORONA",VLOOKUP(C17,$L$7:$M$35,2,0)*C16,IF(C18="BLT",VLOOKUP(C17,$L$8:$N$35,3,0),IF(C18="HIDRAL",VLOOKUP(C17,$L$7:$M$35,2,0)*C16,"MARAC ERRONEA")))</f>
        <v>2400</v>
      </c>
      <c r="D31" s="5">
        <f t="shared" si="2"/>
        <v>16704</v>
      </c>
      <c r="L31" s="31">
        <v>24</v>
      </c>
      <c r="M31" s="12">
        <v>1500</v>
      </c>
      <c r="N31" s="12">
        <v>2013</v>
      </c>
    </row>
    <row r="32" spans="2:14" x14ac:dyDescent="0.2">
      <c r="B32" s="4" t="s">
        <v>45</v>
      </c>
      <c r="C32" s="42">
        <f>+C22*1.5%</f>
        <v>358.35486599999996</v>
      </c>
      <c r="D32" s="5">
        <f t="shared" si="2"/>
        <v>2494.1498673599999</v>
      </c>
      <c r="L32" s="31">
        <v>25</v>
      </c>
      <c r="M32" s="12">
        <v>1550</v>
      </c>
      <c r="N32" s="12">
        <v>2083</v>
      </c>
    </row>
    <row r="33" spans="2:14" x14ac:dyDescent="0.2">
      <c r="B33" s="32" t="s">
        <v>57</v>
      </c>
      <c r="C33" s="42">
        <f>+IF(OR(C11="SANTA CRUZ",C11="LA PAZ"),C16*350,IF(OR(C11="SUCRE",C11="POTOSI",C11="TARIJA",C11="COCHABAMBA"),C16*100,IF(OR(C11="EL ALTO",C11="ORURO"),C16*50,"REVISAR CIUDAD DE VENTA")))</f>
        <v>1400</v>
      </c>
      <c r="D33" s="5">
        <f t="shared" si="2"/>
        <v>9744</v>
      </c>
      <c r="L33" s="31">
        <v>26</v>
      </c>
      <c r="M33" s="12">
        <v>1600</v>
      </c>
      <c r="N33" s="12">
        <v>2154</v>
      </c>
    </row>
    <row r="34" spans="2:14" x14ac:dyDescent="0.2">
      <c r="B34" s="32" t="s">
        <v>58</v>
      </c>
      <c r="C34" s="42">
        <f>+IF(OR(C11="SANTA CRUZ",C11="LA PAZ",C11="EL ALTO"),C16*50,IF(OR(C11="SUCRE",C11="POTOSI",C11="TARIJA",C11="ORURO"),C16*30,IF(C11="COCHABAMBA",C16*75,"REVISAR CIUDAD DE VENTA")))</f>
        <v>200</v>
      </c>
      <c r="D34" s="5">
        <f t="shared" si="2"/>
        <v>1392</v>
      </c>
      <c r="L34" s="31">
        <v>27</v>
      </c>
      <c r="M34" s="12">
        <v>1650</v>
      </c>
      <c r="N34" s="12">
        <v>2224</v>
      </c>
    </row>
    <row r="35" spans="2:14" x14ac:dyDescent="0.2">
      <c r="B35" s="32" t="s">
        <v>73</v>
      </c>
      <c r="C35" s="42">
        <f>+C16*50</f>
        <v>200</v>
      </c>
      <c r="D35" s="5">
        <f t="shared" ref="D35:D43" si="3">+C35*6.96</f>
        <v>1392</v>
      </c>
      <c r="L35" s="31">
        <v>28</v>
      </c>
      <c r="M35" s="12">
        <v>1700</v>
      </c>
      <c r="N35" s="12">
        <v>2294</v>
      </c>
    </row>
    <row r="36" spans="2:14" x14ac:dyDescent="0.2">
      <c r="B36" s="32" t="s">
        <v>70</v>
      </c>
      <c r="C36" s="42">
        <f>+IF(OR(C12="COCHABAMBA",C12="LA PAZ",C12="SANTA CRUZ"),C16*30,0)</f>
        <v>120</v>
      </c>
      <c r="D36" s="5">
        <f t="shared" si="3"/>
        <v>835.2</v>
      </c>
    </row>
    <row r="37" spans="2:14" x14ac:dyDescent="0.2">
      <c r="B37" s="32" t="s">
        <v>59</v>
      </c>
      <c r="C37" s="42">
        <f>50*C16</f>
        <v>200</v>
      </c>
      <c r="D37" s="5">
        <f t="shared" si="3"/>
        <v>1392</v>
      </c>
    </row>
    <row r="38" spans="2:14" x14ac:dyDescent="0.2">
      <c r="B38" s="32" t="s">
        <v>72</v>
      </c>
      <c r="C38" s="42">
        <f>+IF(OR(C12="COCHABAMBA",C12="LA PAZ",C12="SANTA CRUZ"),C16*10,0)</f>
        <v>40</v>
      </c>
      <c r="D38" s="5">
        <f t="shared" si="3"/>
        <v>278.39999999999998</v>
      </c>
    </row>
    <row r="39" spans="2:14" x14ac:dyDescent="0.2">
      <c r="B39" s="4" t="s">
        <v>47</v>
      </c>
      <c r="C39" s="42">
        <f>+C7*1.5%</f>
        <v>358.35486599999996</v>
      </c>
      <c r="D39" s="5">
        <f t="shared" si="3"/>
        <v>2494.1498673599999</v>
      </c>
    </row>
    <row r="40" spans="2:14" x14ac:dyDescent="0.2">
      <c r="B40" s="32" t="s">
        <v>60</v>
      </c>
      <c r="C40" s="42">
        <f>+C6*0.13</f>
        <v>6747.13</v>
      </c>
      <c r="D40" s="5">
        <f t="shared" si="3"/>
        <v>46960.024799999999</v>
      </c>
      <c r="F40" s="20"/>
    </row>
    <row r="41" spans="2:14" x14ac:dyDescent="0.2">
      <c r="B41" s="34" t="s">
        <v>61</v>
      </c>
      <c r="C41" s="44">
        <f>+C6*0.03</f>
        <v>1557.03</v>
      </c>
      <c r="D41" s="27">
        <f t="shared" si="3"/>
        <v>10836.9288</v>
      </c>
    </row>
    <row r="42" spans="2:14" ht="13.5" thickBot="1" x14ac:dyDescent="0.25">
      <c r="B42" s="34" t="s">
        <v>71</v>
      </c>
      <c r="C42" s="44">
        <f>+C31/84.5*15.5</f>
        <v>440.23668639053255</v>
      </c>
      <c r="D42" s="27">
        <f t="shared" si="3"/>
        <v>3064.0473372781066</v>
      </c>
    </row>
    <row r="43" spans="2:14" ht="13.5" thickBot="1" x14ac:dyDescent="0.25">
      <c r="B43" s="28" t="s">
        <v>50</v>
      </c>
      <c r="C43" s="45">
        <f>+SUM(C22:C42)</f>
        <v>45679.029685694775</v>
      </c>
      <c r="D43" s="29">
        <f t="shared" si="3"/>
        <v>317926.04661243566</v>
      </c>
    </row>
    <row r="46" spans="2:14" x14ac:dyDescent="0.2">
      <c r="C46" t="s">
        <v>74</v>
      </c>
    </row>
  </sheetData>
  <mergeCells count="21">
    <mergeCell ref="F19:H19"/>
    <mergeCell ref="F6:H6"/>
    <mergeCell ref="F7:H7"/>
    <mergeCell ref="F8:H8"/>
    <mergeCell ref="F10:H10"/>
    <mergeCell ref="F11:H11"/>
    <mergeCell ref="F12:H12"/>
    <mergeCell ref="F13:H13"/>
    <mergeCell ref="F14:H14"/>
    <mergeCell ref="F16:H16"/>
    <mergeCell ref="F17:H17"/>
    <mergeCell ref="F18:H18"/>
    <mergeCell ref="F26:H26"/>
    <mergeCell ref="F27:H27"/>
    <mergeCell ref="F28:H28"/>
    <mergeCell ref="F20:H20"/>
    <mergeCell ref="F21:H21"/>
    <mergeCell ref="F22:H22"/>
    <mergeCell ref="F23:H23"/>
    <mergeCell ref="F24:H24"/>
    <mergeCell ref="F25:H25"/>
  </mergeCells>
  <pageMargins left="0.75" right="0.75" top="1" bottom="1" header="0" footer="0"/>
  <pageSetup paperSize="5" orientation="portrait" horizontalDpi="4294967292" verticalDpi="4294967292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 DE COSTOS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Sistema</cp:lastModifiedBy>
  <dcterms:created xsi:type="dcterms:W3CDTF">2018-10-30T22:32:20Z</dcterms:created>
  <dcterms:modified xsi:type="dcterms:W3CDTF">2019-02-26T20:16:48Z</dcterms:modified>
</cp:coreProperties>
</file>