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qwack\qwack-master\examples\"/>
    </mc:Choice>
  </mc:AlternateContent>
  <bookViews>
    <workbookView xWindow="0" yWindow="555" windowWidth="19200" windowHeight="11355"/>
  </bookViews>
  <sheets>
    <sheet name="SelfDiscounting" sheetId="1" r:id="rId1"/>
    <sheet name="OisDiscounting" sheetId="2" r:id="rId2"/>
    <sheet name="ComplexBuild" sheetId="3" r:id="rId3"/>
  </sheets>
  <definedNames>
    <definedName name="index" localSheetId="2">ComplexBuild!$C$2</definedName>
    <definedName name="index" localSheetId="1">OisDiscounting!$C$2</definedName>
    <definedName name="index">SelfDiscounting!$C$2</definedName>
    <definedName name="oisIndex" localSheetId="2">ComplexBuild!$C$3</definedName>
    <definedName name="oisIndex">OisDiscounting!$C$3</definedName>
    <definedName name="valDate" localSheetId="2">ComplexBuild!$C$1</definedName>
    <definedName name="valDate" localSheetId="1">OisDiscounting!$C$1</definedName>
    <definedName name="valDate">SelfDiscounting!$C$1</definedName>
  </definedNames>
  <calcPr calcId="171027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3" l="1"/>
  <c r="J9" i="3"/>
  <c r="J10" i="3"/>
  <c r="J11" i="3"/>
  <c r="J7" i="3"/>
  <c r="C1" i="3"/>
  <c r="U4" i="3" s="1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J27" i="3"/>
  <c r="K16" i="3"/>
  <c r="D9" i="3"/>
  <c r="R5" i="3"/>
  <c r="Q18" i="3"/>
  <c r="K11" i="3"/>
  <c r="K8" i="3"/>
  <c r="D11" i="3"/>
  <c r="O6" i="3"/>
  <c r="C2" i="3"/>
  <c r="O16" i="3"/>
  <c r="O13" i="3"/>
  <c r="Q15" i="3"/>
  <c r="K14" i="3"/>
  <c r="D12" i="3"/>
  <c r="Q17" i="3"/>
  <c r="K9" i="3"/>
  <c r="K12" i="3"/>
  <c r="K6" i="3"/>
  <c r="O7" i="3"/>
  <c r="D17" i="3"/>
  <c r="O11" i="3"/>
  <c r="D15" i="3"/>
  <c r="O9" i="3"/>
  <c r="O10" i="3"/>
  <c r="D7" i="3"/>
  <c r="K17" i="3"/>
  <c r="K7" i="3"/>
  <c r="C3" i="3"/>
  <c r="D16" i="3"/>
  <c r="O18" i="3"/>
  <c r="F24" i="3"/>
  <c r="D6" i="3"/>
  <c r="F23" i="3"/>
  <c r="Q16" i="3"/>
  <c r="O15" i="3"/>
  <c r="Q5" i="3"/>
  <c r="D10" i="3"/>
  <c r="Q8" i="3"/>
  <c r="Q14" i="3"/>
  <c r="Q9" i="3"/>
  <c r="K15" i="3"/>
  <c r="D14" i="3"/>
  <c r="D8" i="3"/>
  <c r="F21" i="3"/>
  <c r="O8" i="3"/>
  <c r="F25" i="3"/>
  <c r="J2" i="3"/>
  <c r="O17" i="3"/>
  <c r="Q13" i="3"/>
  <c r="K13" i="3"/>
  <c r="D13" i="3"/>
  <c r="Q7" i="3"/>
  <c r="Q12" i="3"/>
  <c r="Q6" i="3"/>
  <c r="J3" i="3"/>
  <c r="O14" i="3"/>
  <c r="F22" i="3"/>
  <c r="K10" i="3"/>
  <c r="O12" i="3"/>
  <c r="Q10" i="3"/>
  <c r="Q11" i="3"/>
  <c r="F19" i="3"/>
  <c r="F18" i="3"/>
  <c r="F20" i="3"/>
  <c r="M24" i="3"/>
  <c r="M23" i="3"/>
  <c r="M22" i="3"/>
  <c r="M19" i="3"/>
  <c r="M20" i="3"/>
  <c r="M18" i="3"/>
  <c r="M25" i="3"/>
  <c r="M21" i="3"/>
  <c r="M27" i="3" l="1"/>
  <c r="R10" i="3"/>
  <c r="R18" i="3"/>
  <c r="R11" i="3"/>
  <c r="R6" i="3"/>
  <c r="R12" i="3"/>
  <c r="R13" i="3"/>
  <c r="R14" i="3"/>
  <c r="R7" i="3"/>
  <c r="R15" i="3"/>
  <c r="R8" i="3"/>
  <c r="R16" i="3"/>
  <c r="R9" i="3"/>
  <c r="R17" i="3"/>
  <c r="L7" i="3"/>
  <c r="L10" i="3"/>
  <c r="L8" i="3"/>
  <c r="L11" i="3"/>
  <c r="L9" i="3"/>
  <c r="L6" i="3"/>
  <c r="L14" i="3"/>
  <c r="L12" i="3"/>
  <c r="L15" i="3"/>
  <c r="L13" i="3"/>
  <c r="L16" i="3"/>
  <c r="L17" i="3"/>
  <c r="E8" i="3"/>
  <c r="E15" i="3"/>
  <c r="E13" i="3"/>
  <c r="E12" i="3"/>
  <c r="E11" i="3"/>
  <c r="E16" i="3"/>
  <c r="E7" i="3"/>
  <c r="E14" i="3"/>
  <c r="E6" i="3"/>
  <c r="E10" i="3"/>
  <c r="E9" i="3"/>
  <c r="E17" i="3"/>
  <c r="C1" i="2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J28" i="3"/>
  <c r="D15" i="2"/>
  <c r="D13" i="2"/>
  <c r="M9" i="3"/>
  <c r="F15" i="3"/>
  <c r="F14" i="3"/>
  <c r="M8" i="3"/>
  <c r="S14" i="3"/>
  <c r="M11" i="3"/>
  <c r="D12" i="2"/>
  <c r="S7" i="3"/>
  <c r="S9" i="3"/>
  <c r="D17" i="2"/>
  <c r="D7" i="2"/>
  <c r="F16" i="3"/>
  <c r="F7" i="3"/>
  <c r="M13" i="3"/>
  <c r="S11" i="3"/>
  <c r="M14" i="3"/>
  <c r="S6" i="3"/>
  <c r="S15" i="3"/>
  <c r="D10" i="2"/>
  <c r="M17" i="3"/>
  <c r="S17" i="3"/>
  <c r="D11" i="2"/>
  <c r="D9" i="2"/>
  <c r="F6" i="3"/>
  <c r="M15" i="3"/>
  <c r="S8" i="3"/>
  <c r="D16" i="2"/>
  <c r="D6" i="2"/>
  <c r="F12" i="3"/>
  <c r="F17" i="3"/>
  <c r="S13" i="3"/>
  <c r="M7" i="3"/>
  <c r="F13" i="3"/>
  <c r="S16" i="3"/>
  <c r="D14" i="2"/>
  <c r="C2" i="2"/>
  <c r="F11" i="3"/>
  <c r="S18" i="3"/>
  <c r="M6" i="3"/>
  <c r="F9" i="3"/>
  <c r="S10" i="3"/>
  <c r="F8" i="3"/>
  <c r="C3" i="2"/>
  <c r="D8" i="2"/>
  <c r="F20" i="2"/>
  <c r="M12" i="3"/>
  <c r="M16" i="3"/>
  <c r="F10" i="3"/>
  <c r="M10" i="3"/>
  <c r="S12" i="3"/>
  <c r="F18" i="2"/>
  <c r="F23" i="2"/>
  <c r="F22" i="2"/>
  <c r="F25" i="2"/>
  <c r="F19" i="2"/>
  <c r="F24" i="2"/>
  <c r="F21" i="2"/>
  <c r="E8" i="2" l="1"/>
  <c r="E12" i="2"/>
  <c r="E16" i="2"/>
  <c r="E7" i="2"/>
  <c r="E11" i="2"/>
  <c r="E15" i="2"/>
  <c r="E6" i="2"/>
  <c r="E10" i="2"/>
  <c r="E14" i="2"/>
  <c r="E9" i="2"/>
  <c r="E13" i="2"/>
  <c r="E17" i="2"/>
  <c r="C1" i="1"/>
  <c r="F7" i="2"/>
  <c r="C2" i="1"/>
  <c r="F11" i="2"/>
  <c r="F13" i="2"/>
  <c r="F14" i="2"/>
  <c r="F12" i="2"/>
  <c r="F17" i="2"/>
  <c r="F16" i="2"/>
  <c r="F15" i="2"/>
  <c r="F6" i="2"/>
  <c r="F9" i="2"/>
  <c r="F10" i="2"/>
  <c r="F8" i="2"/>
  <c r="H4" i="1" l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D12" i="1"/>
  <c r="D13" i="1"/>
  <c r="D14" i="1"/>
  <c r="D8" i="1"/>
  <c r="D10" i="1"/>
  <c r="D11" i="1"/>
  <c r="D5" i="1"/>
  <c r="D9" i="1"/>
  <c r="D4" i="1"/>
  <c r="D15" i="1"/>
  <c r="D6" i="1"/>
  <c r="D7" i="1"/>
  <c r="E6" i="1" l="1"/>
  <c r="E5" i="1"/>
  <c r="E4" i="1"/>
  <c r="E11" i="1"/>
  <c r="E15" i="1"/>
  <c r="E7" i="1"/>
  <c r="E14" i="1"/>
  <c r="E10" i="1"/>
  <c r="E9" i="1"/>
  <c r="E13" i="1"/>
  <c r="E8" i="1"/>
  <c r="E12" i="1"/>
  <c r="F12" i="1"/>
  <c r="C29" i="2"/>
  <c r="F5" i="1"/>
  <c r="F7" i="1"/>
  <c r="F10" i="1"/>
  <c r="F4" i="1"/>
  <c r="F9" i="1"/>
  <c r="F6" i="1"/>
  <c r="F8" i="1"/>
  <c r="F11" i="1"/>
  <c r="F15" i="1"/>
  <c r="F13" i="1"/>
  <c r="F14" i="1"/>
  <c r="C18" i="1" s="1"/>
  <c r="C20" i="1" s="1"/>
  <c r="C21" i="1" l="1"/>
  <c r="C31" i="2"/>
  <c r="C32" i="2"/>
  <c r="J36" i="2"/>
  <c r="I26" i="2"/>
  <c r="J30" i="2"/>
  <c r="J10" i="2"/>
  <c r="J33" i="2"/>
  <c r="I27" i="2"/>
  <c r="J18" i="2"/>
  <c r="I22" i="2"/>
  <c r="I30" i="2"/>
  <c r="I35" i="2"/>
  <c r="I28" i="2"/>
  <c r="J5" i="2"/>
  <c r="J7" i="2"/>
  <c r="I34" i="2"/>
  <c r="J28" i="2"/>
  <c r="J9" i="2"/>
  <c r="I24" i="2"/>
  <c r="I10" i="2"/>
  <c r="J6" i="2"/>
  <c r="I31" i="2"/>
  <c r="I25" i="2"/>
  <c r="J17" i="2"/>
  <c r="J26" i="2"/>
  <c r="I15" i="2"/>
  <c r="J35" i="2"/>
  <c r="J23" i="2"/>
  <c r="I16" i="2"/>
  <c r="J16" i="2"/>
  <c r="I19" i="2"/>
  <c r="I6" i="2"/>
  <c r="I32" i="2"/>
  <c r="I33" i="2"/>
  <c r="J31" i="2"/>
  <c r="J22" i="2"/>
  <c r="J15" i="2"/>
  <c r="I36" i="2"/>
  <c r="J11" i="2"/>
  <c r="I20" i="2"/>
  <c r="J29" i="2"/>
  <c r="J14" i="2"/>
  <c r="C27" i="3"/>
  <c r="C33" i="2"/>
  <c r="K33" i="2"/>
  <c r="K31" i="2"/>
  <c r="K18" i="2"/>
  <c r="K36" i="2"/>
  <c r="K6" i="2"/>
  <c r="K10" i="2"/>
  <c r="K24" i="2"/>
  <c r="K13" i="2"/>
  <c r="K32" i="2"/>
  <c r="K25" i="2"/>
  <c r="C28" i="3"/>
  <c r="K34" i="2"/>
  <c r="K14" i="2"/>
  <c r="K29" i="2"/>
  <c r="K7" i="2"/>
  <c r="C29" i="3"/>
  <c r="K9" i="2"/>
  <c r="K4" i="2"/>
  <c r="J12" i="1"/>
  <c r="I27" i="1"/>
  <c r="I26" i="1"/>
  <c r="I36" i="1"/>
  <c r="J36" i="1"/>
  <c r="J21" i="1"/>
  <c r="J8" i="1"/>
  <c r="I22" i="1"/>
  <c r="J28" i="1"/>
  <c r="I35" i="1"/>
  <c r="I14" i="1"/>
  <c r="J23" i="1"/>
  <c r="J6" i="1"/>
  <c r="I13" i="1"/>
  <c r="I10" i="1"/>
  <c r="I6" i="1"/>
  <c r="J29" i="1"/>
  <c r="I11" i="1"/>
  <c r="I24" i="1"/>
  <c r="J34" i="1"/>
  <c r="J18" i="1"/>
  <c r="J4" i="1"/>
  <c r="I33" i="1"/>
  <c r="I32" i="1"/>
  <c r="J19" i="1"/>
  <c r="I23" i="1"/>
  <c r="I34" i="1"/>
  <c r="J17" i="1"/>
  <c r="J10" i="1"/>
  <c r="J13" i="1"/>
  <c r="J9" i="1"/>
  <c r="I16" i="1"/>
  <c r="J5" i="1"/>
  <c r="J25" i="1"/>
  <c r="I31" i="1"/>
  <c r="J30" i="1"/>
  <c r="I8" i="1"/>
  <c r="I30" i="1"/>
  <c r="I12" i="1"/>
  <c r="J7" i="1"/>
  <c r="I19" i="1"/>
  <c r="I5" i="1"/>
  <c r="J15" i="1"/>
  <c r="J22" i="1"/>
  <c r="J31" i="1"/>
  <c r="I15" i="1"/>
  <c r="I18" i="1"/>
  <c r="J32" i="1"/>
  <c r="I9" i="1"/>
  <c r="J16" i="1"/>
  <c r="I25" i="1"/>
  <c r="I20" i="1"/>
  <c r="J24" i="1"/>
  <c r="J35" i="1"/>
  <c r="I29" i="1"/>
  <c r="I17" i="1"/>
  <c r="I28" i="1"/>
  <c r="J33" i="1"/>
  <c r="I7" i="1"/>
  <c r="J11" i="1"/>
  <c r="J14" i="1"/>
  <c r="J20" i="1"/>
  <c r="J26" i="1"/>
  <c r="I21" i="1"/>
  <c r="I4" i="1"/>
  <c r="J27" i="1"/>
  <c r="I23" i="2"/>
  <c r="J4" i="2"/>
  <c r="I21" i="2"/>
  <c r="J13" i="2"/>
  <c r="J24" i="2"/>
  <c r="J12" i="2"/>
  <c r="I13" i="2"/>
  <c r="J27" i="2"/>
  <c r="I4" i="2"/>
  <c r="J21" i="2"/>
  <c r="J34" i="2"/>
  <c r="I5" i="2"/>
  <c r="I11" i="2"/>
  <c r="I12" i="2"/>
  <c r="I18" i="2"/>
  <c r="J19" i="2"/>
  <c r="I9" i="2"/>
  <c r="I29" i="2"/>
  <c r="J25" i="2"/>
  <c r="I7" i="2"/>
  <c r="J32" i="2"/>
  <c r="I8" i="2"/>
  <c r="J20" i="2"/>
  <c r="I17" i="2"/>
  <c r="J8" i="2"/>
  <c r="I14" i="2"/>
  <c r="K8" i="2"/>
  <c r="K5" i="2"/>
  <c r="K17" i="2"/>
  <c r="K20" i="2"/>
  <c r="K12" i="2"/>
  <c r="K27" i="2"/>
  <c r="K21" i="2"/>
  <c r="K11" i="2"/>
  <c r="K35" i="2"/>
  <c r="K19" i="2"/>
  <c r="K16" i="2"/>
  <c r="K23" i="2"/>
  <c r="K28" i="2"/>
  <c r="K22" i="2"/>
  <c r="K30" i="2"/>
  <c r="K15" i="2"/>
  <c r="K26" i="2"/>
  <c r="B43" i="2" l="1"/>
  <c r="C30" i="3"/>
  <c r="C32" i="3" s="1"/>
  <c r="C33" i="3" a="1"/>
  <c r="C36" i="3"/>
  <c r="C35" i="3"/>
  <c r="C37" i="3"/>
  <c r="C38" i="3"/>
  <c r="C34" i="3"/>
  <c r="C33" i="3"/>
  <c r="D36" i="3"/>
  <c r="D34" i="3"/>
  <c r="D33" i="3"/>
  <c r="D35" i="3"/>
  <c r="D37" i="3"/>
  <c r="X18" i="3"/>
  <c r="X26" i="3"/>
  <c r="X17" i="3"/>
  <c r="X31" i="3"/>
  <c r="X24" i="3"/>
  <c r="X12" i="3"/>
  <c r="X21" i="3"/>
  <c r="X27" i="3"/>
  <c r="X15" i="3"/>
  <c r="X35" i="3"/>
  <c r="X4" i="3"/>
  <c r="X14" i="3"/>
  <c r="X34" i="3"/>
  <c r="X25" i="3"/>
  <c r="X33" i="3"/>
  <c r="X22" i="3"/>
  <c r="X11" i="3"/>
  <c r="X16" i="3"/>
  <c r="X20" i="3"/>
  <c r="X36" i="3"/>
  <c r="X23" i="3"/>
  <c r="X5" i="3"/>
  <c r="X13" i="3"/>
  <c r="X30" i="3"/>
  <c r="X28" i="3"/>
  <c r="X6" i="3"/>
  <c r="X29" i="3"/>
  <c r="X8" i="3"/>
  <c r="X32" i="3"/>
  <c r="X9" i="3"/>
  <c r="X10" i="3"/>
  <c r="X19" i="3"/>
  <c r="X7" i="3"/>
  <c r="V13" i="3"/>
  <c r="W36" i="3"/>
  <c r="W35" i="3"/>
  <c r="W16" i="3"/>
  <c r="W12" i="3"/>
  <c r="V6" i="3"/>
  <c r="V32" i="3"/>
  <c r="V8" i="3"/>
  <c r="V4" i="3"/>
  <c r="W29" i="3"/>
  <c r="W5" i="3"/>
  <c r="W17" i="3"/>
  <c r="W22" i="3"/>
  <c r="W27" i="3"/>
  <c r="W34" i="3"/>
  <c r="V26" i="3"/>
  <c r="W26" i="3"/>
  <c r="W6" i="3"/>
  <c r="W8" i="3"/>
  <c r="W10" i="3"/>
  <c r="V33" i="3"/>
  <c r="V34" i="3"/>
  <c r="W30" i="3"/>
  <c r="W28" i="3"/>
  <c r="V30" i="3"/>
  <c r="V7" i="3"/>
  <c r="W19" i="3"/>
  <c r="W13" i="3"/>
  <c r="V35" i="3"/>
  <c r="V36" i="3"/>
  <c r="V22" i="3"/>
  <c r="W4" i="3"/>
  <c r="W32" i="3"/>
  <c r="W18" i="3"/>
  <c r="W24" i="3"/>
  <c r="W11" i="3"/>
  <c r="V20" i="3"/>
  <c r="W25" i="3"/>
  <c r="V31" i="3"/>
  <c r="V11" i="3"/>
  <c r="W21" i="3"/>
  <c r="V19" i="3"/>
  <c r="V16" i="3"/>
  <c r="V29" i="3"/>
  <c r="V18" i="3"/>
  <c r="V28" i="3"/>
  <c r="V9" i="3"/>
  <c r="W20" i="3"/>
  <c r="V5" i="3"/>
  <c r="W15" i="3"/>
  <c r="V21" i="3"/>
  <c r="W14" i="3"/>
  <c r="V17" i="3"/>
  <c r="V27" i="3"/>
  <c r="W23" i="3"/>
  <c r="W31" i="3"/>
  <c r="W9" i="3"/>
  <c r="V12" i="3"/>
  <c r="V15" i="3"/>
  <c r="V25" i="3"/>
  <c r="W33" i="3"/>
  <c r="V24" i="3"/>
  <c r="V23" i="3"/>
  <c r="V10" i="3"/>
  <c r="V14" i="3"/>
  <c r="W7" i="3"/>
  <c r="Y7" i="3"/>
  <c r="Y8" i="3"/>
  <c r="Y34" i="3"/>
  <c r="Y12" i="3"/>
  <c r="Y5" i="3"/>
  <c r="Y28" i="3"/>
  <c r="Y33" i="3"/>
  <c r="Y10" i="3"/>
  <c r="Y4" i="3"/>
  <c r="Y19" i="3"/>
  <c r="Y36" i="3"/>
  <c r="Y11" i="3"/>
  <c r="Y20" i="3"/>
  <c r="Y30" i="3"/>
  <c r="Y35" i="3"/>
  <c r="Y22" i="3"/>
  <c r="Y16" i="3"/>
  <c r="Y18" i="3"/>
  <c r="Y29" i="3"/>
  <c r="Y6" i="3"/>
  <c r="Y25" i="3"/>
  <c r="Y9" i="3"/>
  <c r="Y14" i="3"/>
  <c r="Y24" i="3"/>
  <c r="Y27" i="3"/>
  <c r="Y21" i="3"/>
  <c r="Y15" i="3"/>
  <c r="Y17" i="3"/>
  <c r="Y13" i="3"/>
  <c r="Y31" i="3"/>
  <c r="Y23" i="3"/>
  <c r="Y32" i="3"/>
  <c r="Y26" i="3"/>
</calcChain>
</file>

<file path=xl/sharedStrings.xml><?xml version="1.0" encoding="utf-8"?>
<sst xmlns="http://schemas.openxmlformats.org/spreadsheetml/2006/main" count="175" uniqueCount="66">
  <si>
    <t>3m</t>
  </si>
  <si>
    <t>JIBA3M Index</t>
  </si>
  <si>
    <t>3x6</t>
  </si>
  <si>
    <t>SAFR0CF Curncy</t>
  </si>
  <si>
    <t>6x9</t>
  </si>
  <si>
    <t>SAFR0FI Curncy</t>
  </si>
  <si>
    <t>9x12</t>
  </si>
  <si>
    <t>SAFR0I1 Curncy</t>
  </si>
  <si>
    <t>12x15</t>
  </si>
  <si>
    <t>SAFR011C Curncy</t>
  </si>
  <si>
    <t>15x18</t>
  </si>
  <si>
    <t>SAFR1C1F Curncy</t>
  </si>
  <si>
    <t>2y</t>
  </si>
  <si>
    <t>3y</t>
  </si>
  <si>
    <t>4y</t>
  </si>
  <si>
    <t>5y</t>
  </si>
  <si>
    <t>7y</t>
  </si>
  <si>
    <t>10y</t>
  </si>
  <si>
    <t>SASW2 Curncy</t>
  </si>
  <si>
    <t>SASW3 Curncy</t>
  </si>
  <si>
    <t>SASW4 Curncy</t>
  </si>
  <si>
    <t>SASW5 Curncy</t>
  </si>
  <si>
    <t>SASW7 Curncy</t>
  </si>
  <si>
    <t>SASW10 Curncy</t>
  </si>
  <si>
    <t>Val Date</t>
  </si>
  <si>
    <t>Index</t>
  </si>
  <si>
    <t>FIC</t>
  </si>
  <si>
    <t>Model</t>
  </si>
  <si>
    <t>Curve</t>
  </si>
  <si>
    <t>DF</t>
  </si>
  <si>
    <t>3mFwd</t>
  </si>
  <si>
    <t>IndexOis</t>
  </si>
  <si>
    <t>6m</t>
  </si>
  <si>
    <t>9m</t>
  </si>
  <si>
    <t>1y</t>
  </si>
  <si>
    <t>18m</t>
  </si>
  <si>
    <t>DF_3m</t>
  </si>
  <si>
    <t>DF_Ois</t>
  </si>
  <si>
    <t>US0003M Index</t>
  </si>
  <si>
    <t>EDU8</t>
  </si>
  <si>
    <t>EDZ8</t>
  </si>
  <si>
    <t>EDM9</t>
  </si>
  <si>
    <t>EDH9</t>
  </si>
  <si>
    <t>EDU9</t>
  </si>
  <si>
    <t>USSW2 Curncy</t>
  </si>
  <si>
    <t>USSW3 Curncy</t>
  </si>
  <si>
    <t>USSW5 Curncy</t>
  </si>
  <si>
    <t>USSW10 Curncy</t>
  </si>
  <si>
    <t>USSW4 Curncy</t>
  </si>
  <si>
    <t>USSW7 Curncy</t>
  </si>
  <si>
    <t>FIC_USD</t>
  </si>
  <si>
    <t>FIC_ZAR</t>
  </si>
  <si>
    <t>DF_USD</t>
  </si>
  <si>
    <t>USD.LIBOR.3M</t>
  </si>
  <si>
    <t>USD.OIS.1B</t>
  </si>
  <si>
    <t>ZAR.JIBAR.3M</t>
  </si>
  <si>
    <t>ZAR.OIS.1B</t>
  </si>
  <si>
    <t>1w</t>
  </si>
  <si>
    <t>1m</t>
  </si>
  <si>
    <t>2m</t>
  </si>
  <si>
    <t>15m</t>
  </si>
  <si>
    <t>12m</t>
  </si>
  <si>
    <t>FIC_XCY</t>
  </si>
  <si>
    <t>ZAR</t>
  </si>
  <si>
    <t>USD</t>
  </si>
  <si>
    <t>ZAR.DISC.[USD.OIS.1B]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</si>
</sst>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15" fontId="0" fillId="0" borderId="0" xfId="0" applyNumberFormat="1"/>
    <xf numFmtId="10" fontId="0" fillId="0" borderId="0" xfId="0" applyNumberFormat="1"/>
    <xf numFmtId="43" fontId="0" fillId="0" borderId="0" xfId="2" applyFont="1"/>
    <xf numFmtId="164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7.6675000000000004</v>
        <stp/>
        <stp>##V3_BDPV12</stp>
        <stp>SASW2 Curncy</stp>
        <stp>PX_LAST</stp>
        <stp>[Qwack - YeildCurveExample.xlsx]ComplexBuild!R12C4</stp>
        <tr r="D12" s="3"/>
      </tp>
      <tp>
        <v>7.8849999999999998</v>
        <stp/>
        <stp>##V3_BDPV12</stp>
        <stp>SASW3 Curncy</stp>
        <stp>PX_LAST</stp>
        <stp>[Qwack - YeildCurveExample.xlsx]ComplexBuild!R13C4</stp>
        <tr r="D13" s="3"/>
      </tp>
      <tp>
        <v>8.0374999999999996</v>
        <stp/>
        <stp>##V3_BDPV12</stp>
        <stp>SASW4 Curncy</stp>
        <stp>PX_LAST</stp>
        <stp>[Qwack - YeildCurveExample.xlsx]ComplexBuild!R14C4</stp>
        <tr r="D14" s="3"/>
      </tp>
      <tp>
        <v>8.1850000000000005</v>
        <stp/>
        <stp>##V3_BDPV12</stp>
        <stp>SASW5 Curncy</stp>
        <stp>PX_LAST</stp>
        <stp>[Qwack - YeildCurveExample.xlsx]ComplexBuild!R15C4</stp>
        <tr r="D15" s="3"/>
      </tp>
      <tp>
        <v>8.4320000000000004</v>
        <stp/>
        <stp>##V3_BDPV12</stp>
        <stp>SASW7 Curncy</stp>
        <stp>PX_LAST</stp>
        <stp>[Qwack - YeildCurveExample.xlsx]ComplexBuild!R16C4</stp>
        <tr r="D16" s="3"/>
      </tp>
      <tp>
        <v>5578</v>
        <stp/>
        <stp>##V3_BDPV12</stp>
        <stp>ZAR9m Curncy</stp>
        <stp>PX_LAST</stp>
        <stp>[Qwack - YeildCurveExample.xlsx]ComplexBuild!R11C17</stp>
        <tr r="Q11" s="3"/>
      </tp>
      <tp>
        <v>25645</v>
        <stp/>
        <stp>##V3_BDPV12</stp>
        <stp>ZAR3y Curncy</stp>
        <stp>PX_LAST</stp>
        <stp>[Qwack - YeildCurveExample.xlsx]ComplexBuild!R16C17</stp>
        <tr r="Q16" s="3"/>
      </tp>
      <tp>
        <v>15920</v>
        <stp/>
        <stp>##V3_BDPV12</stp>
        <stp>ZAR2y Curncy</stp>
        <stp>PX_LAST</stp>
        <stp>[Qwack - YeildCurveExample.xlsx]ComplexBuild!R15C17</stp>
        <tr r="Q15" s="3"/>
      </tp>
      <tp>
        <v>3731</v>
        <stp/>
        <stp>##V3_BDPV12</stp>
        <stp>ZAR6m Curncy</stp>
        <stp>PX_LAST</stp>
        <stp>[Qwack - YeildCurveExample.xlsx]ComplexBuild!R10C17</stp>
        <tr r="Q10" s="3"/>
      </tp>
      <tp>
        <v>48809</v>
        <stp/>
        <stp>##V3_BDPV12</stp>
        <stp>ZAR5y Curncy</stp>
        <stp>PX_LAST</stp>
        <stp>[Qwack - YeildCurveExample.xlsx]ComplexBuild!R18C17</stp>
        <tr r="Q18" s="3"/>
      </tp>
      <tp>
        <v>36643</v>
        <stp/>
        <stp>##V3_BDPV12</stp>
        <stp>ZAR4y Curncy</stp>
        <stp>PX_LAST</stp>
        <stp>[Qwack - YeildCurveExample.xlsx]ComplexBuild!R17C17</stp>
        <tr r="Q17" s="3"/>
      </tp>
      <tp>
        <v>8.6649999999999991</v>
        <stp/>
        <stp>##V3_BDPV12</stp>
        <stp>SASW10 Curncy</stp>
        <stp>PX_LAST</stp>
        <stp>[Qwack - YeildCurveExample.xlsx]ComplexBuild!R17C4</stp>
        <tr r="D17" s="3"/>
      </tp>
      <tp>
        <v>7.0250000000000004</v>
        <stp/>
        <stp>##V3_BDPV12</stp>
        <stp>JIBA3M Index</stp>
        <stp>PX_LAST</stp>
        <stp>[Qwack - YeildCurveExample.xlsx]ComplexBuild!R6C4</stp>
        <tr r="D6" s="3"/>
      </tp>
    </main>
    <main first="bloomberg.rtd">
      <tp>
        <v>15.1022</v>
        <stp/>
        <stp>##V3_BDPV12</stp>
        <stp>ZAR Curncy</stp>
        <stp>PX_LAST</stp>
        <stp>[Qwack - YeildCurveExample.xlsx]ComplexBuild!R5C17</stp>
        <tr r="Q5" s="3"/>
      </tp>
      <tp>
        <v>2.9853999999999998</v>
        <stp/>
        <stp>##V3_BDPV12</stp>
        <stp>USSW7 Curncy</stp>
        <stp>PX_LAST</stp>
        <stp>[Qwack - YeildCurveExample.xlsx]ComplexBuild!R16C11</stp>
        <tr r="K16" s="3"/>
      </tp>
      <tp>
        <v>2.9161000000000001</v>
        <stp/>
        <stp>##V3_BDPV12</stp>
        <stp>USSW2 Curncy</stp>
        <stp>PX_LAST</stp>
        <stp>[Qwack - YeildCurveExample.xlsx]ComplexBuild!R12C11</stp>
        <tr r="K12" s="3"/>
      </tp>
      <tp>
        <v>2.9643999999999999</v>
        <stp/>
        <stp>##V3_BDPV12</stp>
        <stp>USSW3 Curncy</stp>
        <stp>PX_LAST</stp>
        <stp>[Qwack - YeildCurveExample.xlsx]ComplexBuild!R13C11</stp>
        <tr r="K13" s="3"/>
      </tp>
      <tp>
        <v>2.9748999999999999</v>
        <stp/>
        <stp>##V3_BDPV12</stp>
        <stp>USSW4 Curncy</stp>
        <stp>PX_LAST</stp>
        <stp>[Qwack - YeildCurveExample.xlsx]ComplexBuild!R14C11</stp>
        <tr r="K14" s="3"/>
      </tp>
      <tp>
        <v>2.9759000000000002</v>
        <stp/>
        <stp>##V3_BDPV12</stp>
        <stp>USSW5 Curncy</stp>
        <stp>PX_LAST</stp>
        <stp>[Qwack - YeildCurveExample.xlsx]ComplexBuild!R15C11</stp>
        <tr r="K15" s="3"/>
      </tp>
      <tp>
        <v>97.045000000000002</v>
        <stp/>
        <stp>##V3_BDPV12</stp>
        <stp>EDM9 Comdty</stp>
        <stp>PX_LAST</stp>
        <stp>[Qwack - YeildCurveExample.xlsx]ComplexBuild!R10C11</stp>
        <tr r="K10" s="3"/>
      </tp>
      <tp>
        <v>96.975000000000009</v>
        <stp/>
        <stp>##V3_BDPV12</stp>
        <stp>EDU9 Comdty</stp>
        <stp>PX_LAST</stp>
        <stp>[Qwack - YeildCurveExample.xlsx]ComplexBuild!R11C11</stp>
        <tr r="K11" s="3"/>
      </tp>
    </main>
    <main first="bloomberg.rtd">
      <tp>
        <v>7.75</v>
        <stp/>
        <stp>##V3_BDPV12</stp>
        <stp>SAFR0I1 Curncy</stp>
        <stp>PX_LAST</stp>
        <stp>[Qwack - YeildCurveExample.xlsx]SelfDiscounting!R7C4</stp>
        <tr r="D7" s="1"/>
      </tp>
      <tp>
        <v>7.47</v>
        <stp/>
        <stp>##V3_BDPV12</stp>
        <stp>SAFR0FI Curncy</stp>
        <stp>PX_LAST</stp>
        <stp>[Qwack - YeildCurveExample.xlsx]SelfDiscounting!R6C4</stp>
        <tr r="D6" s="1"/>
      </tp>
      <tp>
        <v>7.28</v>
        <stp/>
        <stp>##V3_BDPV12</stp>
        <stp>SAFR0CF Curncy</stp>
        <stp>PX_LAST</stp>
        <stp>[Qwack - YeildCurveExample.xlsx]SelfDiscounting!R5C4</stp>
        <tr r="D5" s="1"/>
      </tp>
      <tp>
        <v>7.85</v>
        <stp/>
        <stp>##V3_BDPV12</stp>
        <stp>SAFR011C Curncy</stp>
        <stp>PX_LAST</stp>
        <stp>[Qwack - YeildCurveExample.xlsx]OisDiscounting!R10C4</stp>
        <tr r="D10" s="2"/>
      </tp>
      <tp>
        <v>7.85</v>
        <stp/>
        <stp>##V3_BDPV12</stp>
        <stp>SAFR011C Curncy</stp>
        <stp>PX_LAST</stp>
        <stp>[Qwack - YeildCurveExample.xlsx]ComplexBuild!R10C4</stp>
        <tr r="D10" s="3"/>
      </tp>
      <tp>
        <v>7.98</v>
        <stp/>
        <stp>##V3_BDPV12</stp>
        <stp>SAFR1C1F Curncy</stp>
        <stp>PX_LAST</stp>
        <stp>[Qwack - YeildCurveExample.xlsx]ComplexBuild!R11C4</stp>
        <tr r="D11" s="3"/>
      </tp>
      <tp>
        <v>8.6649999999999991</v>
        <stp/>
        <stp>##V3_BDPV12</stp>
        <stp>SASW10 Curncy</stp>
        <stp>PX_LAST</stp>
        <stp>[Qwack - YeildCurveExample.xlsx]SelfDiscounting!R15C4</stp>
        <tr r="D15" s="1"/>
      </tp>
      <tp>
        <v>1276</v>
        <stp/>
        <stp>##V3_BDPV12</stp>
        <stp>ZAR2m Curncy</stp>
        <stp>PX_LAST</stp>
        <stp>[Qwack - YeildCurveExample.xlsx]ComplexBuild!R8C17</stp>
        <tr r="Q8" s="3"/>
      </tp>
      <tp>
        <v>1902</v>
        <stp/>
        <stp>##V3_BDPV12</stp>
        <stp>ZAR3m Curncy</stp>
        <stp>PX_LAST</stp>
        <stp>[Qwack - YeildCurveExample.xlsx]ComplexBuild!R9C17</stp>
        <tr r="Q9" s="3"/>
      </tp>
      <tp>
        <v>667</v>
        <stp/>
        <stp>##V3_BDPV12</stp>
        <stp>ZAR1m Curncy</stp>
        <stp>PX_LAST</stp>
        <stp>[Qwack - YeildCurveExample.xlsx]ComplexBuild!R7C17</stp>
        <tr r="Q7" s="3"/>
      </tp>
      <tp>
        <v>7.0250000000000004</v>
        <stp/>
        <stp>##V3_BDPV12</stp>
        <stp>JIBA3M Index</stp>
        <stp>PX_LAST</stp>
        <stp>[Qwack - YeildCurveExample.xlsx]SelfDiscounting!R4C4</stp>
        <tr r="D4" s="1"/>
      </tp>
      <tp>
        <v>7.85</v>
        <stp/>
        <stp>##V3_BDPV12</stp>
        <stp>SAFR011C Curncy</stp>
        <stp>PX_LAST</stp>
        <stp>[Qwack - YeildCurveExample.xlsx]SelfDiscounting!R8C4</stp>
        <tr r="D8" s="1"/>
      </tp>
      <tp>
        <v>7.47</v>
        <stp/>
        <stp>##V3_BDPV12</stp>
        <stp>SAFR0FI Curncy</stp>
        <stp>PX_LAST</stp>
        <stp>[Qwack - YeildCurveExample.xlsx]ComplexBuild!R8C4</stp>
        <tr r="D8" s="3"/>
      </tp>
      <tp>
        <v>7.28</v>
        <stp/>
        <stp>##V3_BDPV12</stp>
        <stp>SAFR0CF Curncy</stp>
        <stp>PX_LAST</stp>
        <stp>[Qwack - YeildCurveExample.xlsx]ComplexBuild!R7C4</stp>
        <tr r="D7" s="3"/>
      </tp>
      <tp>
        <v>7.75</v>
        <stp/>
        <stp>##V3_BDPV12</stp>
        <stp>SAFR0I1 Curncy</stp>
        <stp>PX_LAST</stp>
        <stp>[Qwack - YeildCurveExample.xlsx]ComplexBuild!R9C4</stp>
        <tr r="D9" s="3"/>
      </tp>
      <tp>
        <v>151</v>
        <stp/>
        <stp>##V3_BDPV12</stp>
        <stp>ZAR1w Curncy</stp>
        <stp>PX_LAST</stp>
        <stp>[Qwack - YeildCurveExample.xlsx]ComplexBuild!R6C17</stp>
        <tr r="Q6" s="3"/>
      </tp>
      <tp>
        <v>8.4320000000000004</v>
        <stp/>
        <stp>##V3_BDPV12</stp>
        <stp>SASW7 Curncy</stp>
        <stp>PX_LAST</stp>
        <stp>[Qwack - YeildCurveExample.xlsx]SelfDiscounting!R14C4</stp>
        <tr r="D14" s="1"/>
      </tp>
      <tp>
        <v>8.6649999999999991</v>
        <stp/>
        <stp>##V3_BDPV12</stp>
        <stp>SASW10 Curncy</stp>
        <stp>PX_LAST</stp>
        <stp>[Qwack - YeildCurveExample.xlsx]OisDiscounting!R17C4</stp>
        <tr r="D17" s="2"/>
      </tp>
      <tp>
        <v>7.8849999999999998</v>
        <stp/>
        <stp>##V3_BDPV12</stp>
        <stp>SASW3 Curncy</stp>
        <stp>PX_LAST</stp>
        <stp>[Qwack - YeildCurveExample.xlsx]SelfDiscounting!R11C4</stp>
        <tr r="D11" s="1"/>
      </tp>
      <tp>
        <v>7.6675000000000004</v>
        <stp/>
        <stp>##V3_BDPV12</stp>
        <stp>SASW2 Curncy</stp>
        <stp>PX_LAST</stp>
        <stp>[Qwack - YeildCurveExample.xlsx]SelfDiscounting!R10C4</stp>
        <tr r="D10" s="1"/>
      </tp>
      <tp>
        <v>8.1850000000000005</v>
        <stp/>
        <stp>##V3_BDPV12</stp>
        <stp>SASW5 Curncy</stp>
        <stp>PX_LAST</stp>
        <stp>[Qwack - YeildCurveExample.xlsx]SelfDiscounting!R13C4</stp>
        <tr r="D13" s="1"/>
      </tp>
      <tp>
        <v>8.0374999999999996</v>
        <stp/>
        <stp>##V3_BDPV12</stp>
        <stp>SASW4 Curncy</stp>
        <stp>PX_LAST</stp>
        <stp>[Qwack - YeildCurveExample.xlsx]SelfDiscounting!R12C4</stp>
        <tr r="D12" s="1"/>
      </tp>
      <tp>
        <v>3.0169999999999999</v>
        <stp/>
        <stp>##V3_BDPV12</stp>
        <stp>USSW10 Curncy</stp>
        <stp>PX_LAST</stp>
        <stp>[Qwack - YeildCurveExample.xlsx]ComplexBuild!R17C11</stp>
        <tr r="K17" s="3"/>
      </tp>
      <tp>
        <v>7477</v>
        <stp/>
        <stp>##V3_BDPV12</stp>
        <stp>ZAR12m Curncy</stp>
        <stp>PX_LAST</stp>
        <stp>[Qwack - YeildCurveExample.xlsx]ComplexBuild!R12C17</stp>
        <tr r="Q12" s="3"/>
      </tp>
      <tp>
        <v>9535</v>
        <stp/>
        <stp>##V3_BDPV12</stp>
        <stp>ZAR15m Curncy</stp>
        <stp>PX_LAST</stp>
        <stp>[Qwack - YeildCurveExample.xlsx]ComplexBuild!R13C17</stp>
        <tr r="Q13" s="3"/>
      </tp>
      <tp>
        <v>11493</v>
        <stp/>
        <stp>##V3_BDPV12</stp>
        <stp>ZAR18m Curncy</stp>
        <stp>PX_LAST</stp>
        <stp>[Qwack - YeildCurveExample.xlsx]ComplexBuild!R14C17</stp>
        <tr r="Q14" s="3"/>
      </tp>
      <tp>
        <v>7.98</v>
        <stp/>
        <stp>##V3_BDPV12</stp>
        <stp>SAFR1C1F Curncy</stp>
        <stp>PX_LAST</stp>
        <stp>[Qwack - YeildCurveExample.xlsx]OisDiscounting!R11C4</stp>
        <tr r="D11" s="2"/>
      </tp>
      <tp>
        <v>7.0250000000000004</v>
        <stp/>
        <stp>##V3_BDPV12</stp>
        <stp>JIBA3M Index</stp>
        <stp>PX_LAST</stp>
        <stp>[Qwack - YeildCurveExample.xlsx]OisDiscounting!R6C4</stp>
        <tr r="D6" s="2"/>
      </tp>
      <tp>
        <v>8.1850000000000005</v>
        <stp/>
        <stp>##V3_BDPV12</stp>
        <stp>SASW5 Curncy</stp>
        <stp>PX_LAST</stp>
        <stp>[Qwack - YeildCurveExample.xlsx]OisDiscounting!R15C4</stp>
        <tr r="D15" s="2"/>
      </tp>
      <tp>
        <v>8.0374999999999996</v>
        <stp/>
        <stp>##V3_BDPV12</stp>
        <stp>SASW4 Curncy</stp>
        <stp>PX_LAST</stp>
        <stp>[Qwack - YeildCurveExample.xlsx]OisDiscounting!R14C4</stp>
        <tr r="D14" s="2"/>
      </tp>
      <tp>
        <v>8.4320000000000004</v>
        <stp/>
        <stp>##V3_BDPV12</stp>
        <stp>SASW7 Curncy</stp>
        <stp>PX_LAST</stp>
        <stp>[Qwack - YeildCurveExample.xlsx]OisDiscounting!R16C4</stp>
        <tr r="D16" s="2"/>
      </tp>
      <tp>
        <v>7.98</v>
        <stp/>
        <stp>##V3_BDPV12</stp>
        <stp>SAFR1C1F Curncy</stp>
        <stp>PX_LAST</stp>
        <stp>[Qwack - YeildCurveExample.xlsx]SelfDiscounting!R9C4</stp>
        <tr r="D9" s="1"/>
      </tp>
      <tp>
        <v>7.8849999999999998</v>
        <stp/>
        <stp>##V3_BDPV12</stp>
        <stp>SASW3 Curncy</stp>
        <stp>PX_LAST</stp>
        <stp>[Qwack - YeildCurveExample.xlsx]OisDiscounting!R13C4</stp>
        <tr r="D13" s="2"/>
      </tp>
      <tp>
        <v>7.6675000000000004</v>
        <stp/>
        <stp>##V3_BDPV12</stp>
        <stp>SASW2 Curncy</stp>
        <stp>PX_LAST</stp>
        <stp>[Qwack - YeildCurveExample.xlsx]OisDiscounting!R12C4</stp>
        <tr r="D12" s="2"/>
      </tp>
      <tp>
        <v>97.647500000000008</v>
        <stp/>
        <stp>##V3_BDPV12</stp>
        <stp>EDU8 Comdty</stp>
        <stp>PX_LAST</stp>
        <stp>[Qwack - YeildCurveExample.xlsx]ComplexBuild!R7C11</stp>
        <tr r="K7" s="3"/>
      </tp>
      <tp>
        <v>97.335000000000008</v>
        <stp/>
        <stp>##V3_BDPV12</stp>
        <stp>EDZ8 Comdty</stp>
        <stp>PX_LAST</stp>
        <stp>[Qwack - YeildCurveExample.xlsx]ComplexBuild!R8C11</stp>
        <tr r="K8" s="3"/>
      </tp>
      <tp>
        <v>97.17</v>
        <stp/>
        <stp>##V3_BDPV12</stp>
        <stp>EDH9 Comdty</stp>
        <stp>PX_LAST</stp>
        <stp>[Qwack - YeildCurveExample.xlsx]ComplexBuild!R9C11</stp>
        <tr r="K9" s="3"/>
      </tp>
      <tp>
        <v>7.28</v>
        <stp/>
        <stp>##V3_BDPV12</stp>
        <stp>SAFR0CF Curncy</stp>
        <stp>PX_LAST</stp>
        <stp>[Qwack - YeildCurveExample.xlsx]OisDiscounting!R7C4</stp>
        <tr r="D7" s="2"/>
      </tp>
      <tp>
        <v>7.47</v>
        <stp/>
        <stp>##V3_BDPV12</stp>
        <stp>SAFR0FI Curncy</stp>
        <stp>PX_LAST</stp>
        <stp>[Qwack - YeildCurveExample.xlsx]OisDiscounting!R8C4</stp>
        <tr r="D8" s="2"/>
      </tp>
      <tp>
        <v>7.75</v>
        <stp/>
        <stp>##V3_BDPV12</stp>
        <stp>SAFR0I1 Curncy</stp>
        <stp>PX_LAST</stp>
        <stp>[Qwack - YeildCurveExample.xlsx]OisDiscounting!R9C4</stp>
        <tr r="D9" s="2"/>
      </tp>
      <tp>
        <v>2.3342499999999999</v>
        <stp/>
        <stp>##V3_BDPV12</stp>
        <stp>US0003M Index</stp>
        <stp>PX_LAST</stp>
        <stp>[Qwack - YeildCurveExample.xlsx]ComplexBuild!R6C11</stp>
        <tr r="K6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7"/>
  <sheetViews>
    <sheetView tabSelected="1" workbookViewId="0">
      <selection activeCell="C26" sqref="C26"/>
    </sheetView>
  </sheetViews>
  <sheetFormatPr defaultRowHeight="15" x14ac:dyDescent="0.25"/>
  <cols>
    <col min="3" max="3" width="15.5703125" customWidth="1"/>
    <col min="8" max="8" width="10.7109375" bestFit="1" customWidth="1"/>
    <col min="10" max="10" width="7" customWidth="1"/>
  </cols>
  <sheetData>
    <row r="1" spans="2:10" x14ac:dyDescent="0.25">
      <c r="B1" t="s">
        <v>24</v>
      </c>
      <c r="C1" s="2">
        <f ca="1">TODAY()</f>
        <v>43354</v>
      </c>
    </row>
    <row r="2" spans="2:10" x14ac:dyDescent="0.25">
      <c r="B2" t="s">
        <v>25</v>
      </c>
      <c r="C2" t="str">
        <f>_xll.QIns_CreateRateIndex("ZAR.JIBAR.3M","ZAR","3M","Act365F","Act365F","3M","JHB","0b","MF")</f>
        <v>ZAR.JIBAR.3M¬2</v>
      </c>
    </row>
    <row r="3" spans="2:10" x14ac:dyDescent="0.25">
      <c r="I3" t="s">
        <v>29</v>
      </c>
      <c r="J3" t="s">
        <v>30</v>
      </c>
    </row>
    <row r="4" spans="2:10" x14ac:dyDescent="0.25">
      <c r="B4" t="s">
        <v>0</v>
      </c>
      <c r="C4" t="s">
        <v>1</v>
      </c>
      <c r="D4">
        <f>_xll.BDP(C4,"PX_LAST")</f>
        <v>7.0250000000000004</v>
      </c>
      <c r="E4" s="1">
        <f>D4/100</f>
        <v>7.0250000000000007E-2</v>
      </c>
      <c r="F4" t="str">
        <f ca="1">_xll.QIns_CreateFRA(B4,valDate,"0x3",index,"ZAR",E4,1,"ZAR.JIBAR.3M","ZAR.JIBAR.3M",,,"ZAR.JIBAR.3M")</f>
        <v>3m¬0</v>
      </c>
      <c r="H4" s="2">
        <f ca="1">valDate</f>
        <v>43354</v>
      </c>
      <c r="I4" s="1">
        <f ca="1">_xll.QCurves_GetDF($C$21,valDate,H4)</f>
        <v>1</v>
      </c>
      <c r="J4" s="1">
        <f ca="1">_xll.QCurves_GetForwardRate($C$21,H4,H5,"Linear","Act365F")</f>
        <v>7.0249999999999896E-2</v>
      </c>
    </row>
    <row r="5" spans="2:10" x14ac:dyDescent="0.25">
      <c r="B5" t="s">
        <v>2</v>
      </c>
      <c r="C5" t="s">
        <v>3</v>
      </c>
      <c r="D5">
        <f>_xll.BDP(C5,"PX_LAST")</f>
        <v>7.28</v>
      </c>
      <c r="E5" s="1">
        <f t="shared" ref="E5:E15" si="0">D5/100</f>
        <v>7.2800000000000004E-2</v>
      </c>
      <c r="F5" t="str">
        <f ca="1">_xll.QIns_CreateFRA(B5,valDate,B5,index,"ZAR",E5,1,"ZAR.JIBAR.3M","ZAR.JIBAR.3M",,,"ZAR.JIBAR.3M")</f>
        <v>3x6¬0</v>
      </c>
      <c r="H5" s="2">
        <f ca="1">EDATE(H4,3)</f>
        <v>43445</v>
      </c>
      <c r="I5" s="1">
        <f ca="1">_xll.QCurves_GetDF($C$21,valDate,H5)</f>
        <v>0.98278708994723252</v>
      </c>
      <c r="J5" s="1">
        <f ca="1">_xll.QCurves_GetForwardRate($C$21,H5,H6,"Linear","Act365F")</f>
        <v>7.2800000000000517E-2</v>
      </c>
    </row>
    <row r="6" spans="2:10" x14ac:dyDescent="0.25">
      <c r="B6" t="s">
        <v>4</v>
      </c>
      <c r="C6" t="s">
        <v>5</v>
      </c>
      <c r="D6">
        <f>_xll.BDP(C6,"PX_LAST")</f>
        <v>7.47</v>
      </c>
      <c r="E6" s="1">
        <f t="shared" si="0"/>
        <v>7.4700000000000003E-2</v>
      </c>
      <c r="F6" t="str">
        <f ca="1">_xll.QIns_CreateFRA(B6,valDate,B6,index,"ZAR",E6,1,"ZAR.JIBAR.3M","ZAR.JIBAR.3M",,,"ZAR.JIBAR.3M")</f>
        <v>6x9¬0</v>
      </c>
      <c r="H6" s="2">
        <f t="shared" ref="H6:H37" ca="1" si="1">EDATE(H5,3)</f>
        <v>43535</v>
      </c>
      <c r="I6" s="1">
        <f ca="1">_xll.QCurves_GetDF($C$21,valDate,H6)</f>
        <v>0.96545648477397461</v>
      </c>
      <c r="J6" s="1">
        <f ca="1">_xll.QCurves_GetForwardRate($C$21,H6,H7,"Linear","Act365F")</f>
        <v>7.4699999999999475E-2</v>
      </c>
    </row>
    <row r="7" spans="2:10" x14ac:dyDescent="0.25">
      <c r="B7" t="s">
        <v>6</v>
      </c>
      <c r="C7" t="s">
        <v>7</v>
      </c>
      <c r="D7">
        <f>_xll.BDP(C7,"PX_LAST")</f>
        <v>7.75</v>
      </c>
      <c r="E7" s="1">
        <f t="shared" si="0"/>
        <v>7.7499999999999999E-2</v>
      </c>
      <c r="F7" t="str">
        <f ca="1">_xll.QIns_CreateFRA(B7,valDate,B7,index,"ZAR",E7,1,"ZAR.JIBAR.3M","ZAR.JIBAR.3M",,,"ZAR.JIBAR.3M")</f>
        <v>9x12¬0</v>
      </c>
      <c r="H7" s="2">
        <f t="shared" ca="1" si="1"/>
        <v>43627</v>
      </c>
      <c r="I7" s="1">
        <f ca="1">_xll.QCurves_GetDF($C$21,valDate,H7)</f>
        <v>0.94761433476240986</v>
      </c>
      <c r="J7" s="1">
        <f ca="1">_xll.QCurves_GetForwardRate($C$21,H7,H8,"Linear","Act365F")</f>
        <v>7.7500000000000249E-2</v>
      </c>
    </row>
    <row r="8" spans="2:10" x14ac:dyDescent="0.25">
      <c r="B8" t="s">
        <v>8</v>
      </c>
      <c r="C8" t="s">
        <v>9</v>
      </c>
      <c r="D8">
        <f>_xll.BDP(C8,"PX_LAST")</f>
        <v>7.85</v>
      </c>
      <c r="E8" s="1">
        <f t="shared" si="0"/>
        <v>7.85E-2</v>
      </c>
      <c r="F8" t="str">
        <f ca="1">_xll.QIns_CreateFRA(B8,valDate,B8,index,"ZAR",E8,1,"ZAR.JIBAR.3M","ZAR.JIBAR.3M",,,"ZAR.JIBAR.3M")</f>
        <v>12x15¬0</v>
      </c>
      <c r="H8" s="2">
        <f t="shared" ca="1" si="1"/>
        <v>43719</v>
      </c>
      <c r="I8" s="1">
        <f ca="1">_xll.QCurves_GetDF($C$21,valDate,H8)</f>
        <v>0.92945807161013505</v>
      </c>
      <c r="J8" s="1">
        <f ca="1">_xll.QCurves_GetForwardRate($C$21,H8,H9,"Linear","Act365F")</f>
        <v>7.8500000000000139E-2</v>
      </c>
    </row>
    <row r="9" spans="2:10" x14ac:dyDescent="0.25">
      <c r="B9" t="s">
        <v>10</v>
      </c>
      <c r="C9" t="s">
        <v>11</v>
      </c>
      <c r="D9">
        <f>_xll.BDP(C9,"PX_LAST")</f>
        <v>7.98</v>
      </c>
      <c r="E9" s="1">
        <f t="shared" si="0"/>
        <v>7.980000000000001E-2</v>
      </c>
      <c r="F9" t="str">
        <f ca="1">_xll.QIns_CreateFRA(B9,valDate,B9,index,"ZAR",E9,1,"ZAR.JIBAR.3M","ZAR.JIBAR.3M",,,"ZAR.JIBAR.3M")</f>
        <v>15x18¬0</v>
      </c>
      <c r="H9" s="2">
        <f t="shared" ca="1" si="1"/>
        <v>43810</v>
      </c>
      <c r="I9" s="1">
        <f ca="1">_xll.QCurves_GetDF($C$21,valDate,H9)</f>
        <v>0.91161661062923127</v>
      </c>
      <c r="J9" s="1">
        <f ca="1">_xll.QCurves_GetForwardRate($C$21,H9,H10,"Linear","Act365F")</f>
        <v>7.9799999999999524E-2</v>
      </c>
    </row>
    <row r="10" spans="2:10" x14ac:dyDescent="0.25">
      <c r="B10" t="s">
        <v>12</v>
      </c>
      <c r="C10" t="s">
        <v>18</v>
      </c>
      <c r="D10">
        <f>_xll.BDP(C10,"PX_LAST")</f>
        <v>7.6675000000000004</v>
      </c>
      <c r="E10" s="1">
        <f t="shared" si="0"/>
        <v>7.6675000000000007E-2</v>
      </c>
      <c r="F10" t="str">
        <f ca="1">_xll.QIns_CreateIRS(B10,valDate,B10,index,E10,1,"ZAR.JIBAR.3M","ZAR.JIBAR.3M","Pay","ZAR.JIBAR.3M")</f>
        <v>2y¬0</v>
      </c>
      <c r="H10" s="2">
        <f t="shared" ca="1" si="1"/>
        <v>43901</v>
      </c>
      <c r="I10" s="1">
        <f ca="1">_xll.QCurves_GetDF($C$21,valDate,H10)</f>
        <v>0.89383348729219447</v>
      </c>
      <c r="J10" s="1">
        <f ca="1">_xll.QCurves_GetForwardRate($C$21,H10,H11,"Linear","Act365F")</f>
        <v>7.9871749394926736E-2</v>
      </c>
    </row>
    <row r="11" spans="2:10" x14ac:dyDescent="0.25">
      <c r="B11" t="s">
        <v>13</v>
      </c>
      <c r="C11" t="s">
        <v>19</v>
      </c>
      <c r="D11">
        <f>_xll.BDP(C11,"PX_LAST")</f>
        <v>7.8849999999999998</v>
      </c>
      <c r="E11" s="1">
        <f t="shared" si="0"/>
        <v>7.8850000000000003E-2</v>
      </c>
      <c r="F11" t="str">
        <f ca="1">_xll.QIns_CreateIRS(B11,valDate,B11,index,E11,1,"ZAR.JIBAR.3M","ZAR.JIBAR.3M","Pay","ZAR.JIBAR.3M")</f>
        <v>3y¬0</v>
      </c>
      <c r="H11" s="2">
        <f t="shared" ca="1" si="1"/>
        <v>43993</v>
      </c>
      <c r="I11" s="1">
        <f ca="1">_xll.QCurves_GetDF($C$21,valDate,H11)</f>
        <v>0.8761939013918475</v>
      </c>
      <c r="J11" s="1">
        <f ca="1">_xll.QCurves_GetForwardRate($C$21,H11,H12,"Linear","Act365F")</f>
        <v>8.1101602740768955E-2</v>
      </c>
    </row>
    <row r="12" spans="2:10" x14ac:dyDescent="0.25">
      <c r="B12" t="s">
        <v>14</v>
      </c>
      <c r="C12" t="s">
        <v>20</v>
      </c>
      <c r="D12">
        <f>_xll.BDP(C12,"PX_LAST")</f>
        <v>8.0374999999999996</v>
      </c>
      <c r="E12" s="1">
        <f t="shared" si="0"/>
        <v>8.0375000000000002E-2</v>
      </c>
      <c r="F12" t="str">
        <f ca="1">_xll.QIns_CreateIRS(B12,valDate,B12,index,E12,1,"ZAR.JIBAR.3M","ZAR.JIBAR.3M","Pay","ZAR.JIBAR.3M")</f>
        <v>4y¬0</v>
      </c>
      <c r="H12" s="2">
        <f t="shared" ca="1" si="1"/>
        <v>44085</v>
      </c>
      <c r="I12" s="1">
        <f ca="1">_xll.QCurves_GetDF($C$21,valDate,H12)</f>
        <v>0.85864151057744242</v>
      </c>
      <c r="J12" s="1">
        <f ca="1">_xll.QCurves_GetForwardRate($C$21,H12,H13,"Linear","Act365F")</f>
        <v>8.1978269089647698E-2</v>
      </c>
    </row>
    <row r="13" spans="2:10" x14ac:dyDescent="0.25">
      <c r="B13" t="s">
        <v>15</v>
      </c>
      <c r="C13" t="s">
        <v>21</v>
      </c>
      <c r="D13">
        <f>_xll.BDP(C13,"PX_LAST")</f>
        <v>8.1850000000000005</v>
      </c>
      <c r="E13" s="1">
        <f t="shared" si="0"/>
        <v>8.1850000000000006E-2</v>
      </c>
      <c r="F13" t="str">
        <f ca="1">_xll.QIns_CreateIRS(B13,valDate,B13,index,E13,1,"ZAR.JIBAR.3M","ZAR.JIBAR.3M","Pay","ZAR.JIBAR.3M")</f>
        <v>5y¬0</v>
      </c>
      <c r="H13" s="2">
        <f t="shared" ca="1" si="1"/>
        <v>44176</v>
      </c>
      <c r="I13" s="1">
        <f ca="1">_xll.QCurves_GetDF($C$21,valDate,H13)</f>
        <v>0.84144373204931644</v>
      </c>
      <c r="J13" s="1">
        <f ca="1">_xll.QCurves_GetForwardRate($C$21,H13,H14,"Linear","Act365F")</f>
        <v>8.3104663499671924E-2</v>
      </c>
    </row>
    <row r="14" spans="2:10" x14ac:dyDescent="0.25">
      <c r="B14" t="s">
        <v>16</v>
      </c>
      <c r="C14" t="s">
        <v>22</v>
      </c>
      <c r="D14">
        <f>_xll.BDP(C14,"PX_LAST")</f>
        <v>8.4320000000000004</v>
      </c>
      <c r="E14" s="1">
        <f t="shared" si="0"/>
        <v>8.4320000000000006E-2</v>
      </c>
      <c r="F14" t="str">
        <f ca="1">_xll.QIns_CreateIRS(B14,valDate,B14,index,E14,1,"ZAR.JIBAR.3M","ZAR.JIBAR.3M","Pay","ZAR.JIBAR.3M")</f>
        <v>7y¬0</v>
      </c>
      <c r="H14" s="2">
        <f t="shared" ca="1" si="1"/>
        <v>44266</v>
      </c>
      <c r="I14" s="1">
        <f ca="1">_xll.QCurves_GetDF($C$21,valDate,H14)</f>
        <v>0.82454746743597507</v>
      </c>
      <c r="J14" s="1">
        <f ca="1">_xll.QCurves_GetForwardRate($C$21,H14,H15,"Linear","Act365F")</f>
        <v>8.4266104091386851E-2</v>
      </c>
    </row>
    <row r="15" spans="2:10" x14ac:dyDescent="0.25">
      <c r="B15" t="s">
        <v>17</v>
      </c>
      <c r="C15" t="s">
        <v>23</v>
      </c>
      <c r="D15">
        <f>_xll.BDP(C15,"PX_LAST")</f>
        <v>8.6649999999999991</v>
      </c>
      <c r="E15" s="1">
        <f t="shared" si="0"/>
        <v>8.6649999999999991E-2</v>
      </c>
      <c r="F15" t="str">
        <f ca="1">_xll.QIns_CreateIRS(B15,valDate,B15,index,E15,1,"ZAR.JIBAR.3M","ZAR.JIBAR.3M","Pay","ZAR.JIBAR.3M")</f>
        <v>10y¬0</v>
      </c>
      <c r="H15" s="2">
        <f t="shared" ca="1" si="1"/>
        <v>44358</v>
      </c>
      <c r="I15" s="1">
        <f ca="1">_xll.QCurves_GetDF($C$21,valDate,H15)</f>
        <v>0.80739858348183668</v>
      </c>
      <c r="J15" s="1">
        <f ca="1">_xll.QCurves_GetForwardRate($C$21,H15,H16,"Linear","Act365F")</f>
        <v>8.5421632387186405E-2</v>
      </c>
    </row>
    <row r="16" spans="2:10" x14ac:dyDescent="0.25">
      <c r="H16" s="2">
        <f t="shared" ca="1" si="1"/>
        <v>44450</v>
      </c>
      <c r="I16" s="1">
        <f ca="1">_xll.QCurves_GetDF($C$21,valDate,H16)</f>
        <v>0.79038094509962142</v>
      </c>
      <c r="J16" s="1">
        <f ca="1">_xll.QCurves_GetForwardRate($C$21,H16,H17,"Linear","Act365F")</f>
        <v>8.460048509444576E-2</v>
      </c>
    </row>
    <row r="17" spans="2:10" x14ac:dyDescent="0.25">
      <c r="H17" s="2">
        <f t="shared" ca="1" si="1"/>
        <v>44541</v>
      </c>
      <c r="I17" s="1">
        <f ca="1">_xll.QCurves_GetDF($C$21,valDate,H17)</f>
        <v>0.774054452557149</v>
      </c>
      <c r="J17" s="1">
        <f ca="1">_xll.QCurves_GetForwardRate($C$21,H17,H18,"Linear","Act365F")</f>
        <v>8.5380739265794231E-2</v>
      </c>
    </row>
    <row r="18" spans="2:10" x14ac:dyDescent="0.25">
      <c r="B18" t="s">
        <v>26</v>
      </c>
      <c r="C18" t="str">
        <f ca="1">_xll.QIns_CreateFundingInstrumentCollection("FundingInstruments",F4:F15)</f>
        <v>FundingInstruments¬0</v>
      </c>
      <c r="H18" s="2">
        <f t="shared" ca="1" si="1"/>
        <v>44631</v>
      </c>
      <c r="I18" s="1">
        <f ca="1">_xll.QCurves_GetDF($C$21,valDate,H18)</f>
        <v>0.75809445300971323</v>
      </c>
      <c r="J18" s="1">
        <f ca="1">_xll.QCurves_GetForwardRate($C$21,H18,H19,"Linear","Act365F")</f>
        <v>8.6236371577449941E-2</v>
      </c>
    </row>
    <row r="19" spans="2:10" x14ac:dyDescent="0.25">
      <c r="H19" s="2">
        <f t="shared" ca="1" si="1"/>
        <v>44723</v>
      </c>
      <c r="I19" s="1">
        <f ca="1">_xll.QCurves_GetDF($C$21,valDate,H19)</f>
        <v>0.74196684579782812</v>
      </c>
      <c r="J19" s="1">
        <f ca="1">_xll.QCurves_GetForwardRate($C$21,H19,H20,"Linear","Act365F")</f>
        <v>8.7081527057995781E-2</v>
      </c>
    </row>
    <row r="20" spans="2:10" x14ac:dyDescent="0.25">
      <c r="B20" t="s">
        <v>27</v>
      </c>
      <c r="C20" t="str">
        <f ca="1">_xll.QCurves_CreateFundingModel("Model",valDate,C18)</f>
        <v>Model¬0</v>
      </c>
      <c r="H20" s="2">
        <f t="shared" ca="1" si="1"/>
        <v>44815</v>
      </c>
      <c r="I20" s="1">
        <f ca="1">_xll.QCurves_GetDF($C$21,valDate,H20)</f>
        <v>0.72603096247953336</v>
      </c>
      <c r="J20" s="1">
        <f ca="1">_xll.QCurves_GetForwardRate($C$21,H20,H21,"Linear","Act365F")</f>
        <v>8.7947310259188172E-2</v>
      </c>
    </row>
    <row r="21" spans="2:10" x14ac:dyDescent="0.25">
      <c r="B21" t="s">
        <v>28</v>
      </c>
      <c r="C21" t="str">
        <f ca="1">_xll.QCurves_ExtractCurveFromModel(C20,"ZAR.JIBAR.3M","curve.ZAR.JIBAR.3M")</f>
        <v>curve.ZAR.JIBAR.3M¬0</v>
      </c>
      <c r="H21" s="2">
        <f t="shared" ca="1" si="1"/>
        <v>44906</v>
      </c>
      <c r="I21" s="1">
        <f ca="1">_xll.QCurves_GetDF($C$21,valDate,H21)</f>
        <v>0.71045314781967528</v>
      </c>
      <c r="J21" s="1">
        <f ca="1">_xll.QCurves_GetForwardRate($C$21,H21,H22,"Linear","Act365F")</f>
        <v>8.8772686046287491E-2</v>
      </c>
    </row>
    <row r="22" spans="2:10" x14ac:dyDescent="0.25">
      <c r="H22" s="2">
        <f t="shared" ca="1" si="1"/>
        <v>44996</v>
      </c>
      <c r="I22" s="1">
        <f ca="1">_xll.QCurves_GetDF($C$21,valDate,H22)</f>
        <v>0.69523503994663294</v>
      </c>
      <c r="J22" s="1">
        <f ca="1">_xll.QCurves_GetForwardRate($C$21,H22,H23,"Linear","Act365F")</f>
        <v>8.9634838704093639E-2</v>
      </c>
    </row>
    <row r="23" spans="2:10" x14ac:dyDescent="0.25">
      <c r="H23" s="2">
        <f t="shared" ca="1" si="1"/>
        <v>45088</v>
      </c>
      <c r="I23" s="1">
        <f ca="1">_xll.QCurves_GetDF($C$21,valDate,H23)</f>
        <v>0.67987470494515023</v>
      </c>
      <c r="J23" s="1">
        <f ca="1">_xll.QCurves_GetForwardRate($C$21,H23,H24,"Linear","Act365F")</f>
        <v>9.0484968847432831E-2</v>
      </c>
    </row>
    <row r="24" spans="2:10" x14ac:dyDescent="0.25">
      <c r="H24" s="2">
        <f t="shared" ca="1" si="1"/>
        <v>45180</v>
      </c>
      <c r="I24" s="1">
        <f ca="1">_xll.QCurves_GetDF($C$21,valDate,H24)</f>
        <v>0.66471444934458246</v>
      </c>
      <c r="J24" s="1">
        <f ca="1">_xll.QCurves_GetForwardRate($C$21,H24,H25,"Linear","Act365F")</f>
        <v>9.0249987387566927E-2</v>
      </c>
    </row>
    <row r="25" spans="2:10" x14ac:dyDescent="0.25">
      <c r="H25" s="2">
        <f t="shared" ca="1" si="1"/>
        <v>45271</v>
      </c>
      <c r="I25" s="1">
        <f ca="1">_xll.QCurves_GetDF($C$21,valDate,H25)</f>
        <v>0.65008704755370206</v>
      </c>
      <c r="J25" s="1">
        <f ca="1">_xll.QCurves_GetForwardRate($C$21,H25,H26,"Linear","Act365F")</f>
        <v>9.0989270807947636E-2</v>
      </c>
    </row>
    <row r="26" spans="2:10" x14ac:dyDescent="0.25">
      <c r="H26" s="2">
        <f t="shared" ca="1" si="1"/>
        <v>45362</v>
      </c>
      <c r="I26" s="1">
        <f ca="1">_xll.QCurves_GetDF($C$21,valDate,H26)</f>
        <v>0.63566694526279222</v>
      </c>
      <c r="J26" s="1">
        <f ca="1">_xll.QCurves_GetForwardRate($C$21,H26,H27,"Linear","Act365F")</f>
        <v>9.1744191907840791E-2</v>
      </c>
    </row>
    <row r="27" spans="2:10" x14ac:dyDescent="0.25">
      <c r="H27" s="2">
        <f t="shared" ca="1" si="1"/>
        <v>45454</v>
      </c>
      <c r="I27" s="1">
        <f ca="1">_xll.QCurves_GetDF($C$21,valDate,H27)</f>
        <v>0.62129966181796603</v>
      </c>
      <c r="J27" s="1">
        <f ca="1">_xll.QCurves_GetForwardRate($C$21,H27,H28,"Linear","Act365F")</f>
        <v>9.24920568440461E-2</v>
      </c>
    </row>
    <row r="28" spans="2:10" x14ac:dyDescent="0.25">
      <c r="H28" s="2">
        <f t="shared" ca="1" si="1"/>
        <v>45546</v>
      </c>
      <c r="I28" s="1">
        <f ca="1">_xll.QCurves_GetDF($C$21,valDate,H28)</f>
        <v>0.60714524443066853</v>
      </c>
      <c r="J28" s="1">
        <f ca="1">_xll.QCurves_GetForwardRate($C$21,H28,H29,"Linear","Act365F")</f>
        <v>9.3224179010840597E-2</v>
      </c>
    </row>
    <row r="29" spans="2:10" x14ac:dyDescent="0.25">
      <c r="H29" s="2">
        <f t="shared" ca="1" si="1"/>
        <v>45637</v>
      </c>
      <c r="I29" s="1">
        <f ca="1">_xll.QCurves_GetDF($C$21,valDate,H29)</f>
        <v>0.59335438749119573</v>
      </c>
      <c r="J29" s="1">
        <f ca="1">_xll.QCurves_GetForwardRate($C$21,H29,H30,"Linear","Act365F")</f>
        <v>9.3947933818461185E-2</v>
      </c>
    </row>
    <row r="30" spans="2:10" x14ac:dyDescent="0.25">
      <c r="H30" s="2">
        <f t="shared" ca="1" si="1"/>
        <v>45727</v>
      </c>
      <c r="I30" s="1">
        <f ca="1">_xll.QCurves_GetDF($C$21,valDate,H30)</f>
        <v>0.57992039017810371</v>
      </c>
      <c r="J30" s="1">
        <f ca="1">_xll.QCurves_GetForwardRate($C$21,H30,H31,"Linear","Act365F")</f>
        <v>9.4712075928632344E-2</v>
      </c>
    </row>
    <row r="31" spans="2:10" x14ac:dyDescent="0.25">
      <c r="H31" s="2">
        <f t="shared" ca="1" si="1"/>
        <v>45819</v>
      </c>
      <c r="I31" s="1">
        <f ca="1">_xll.QCurves_GetDF($C$21,valDate,H31)</f>
        <v>0.56639895586557465</v>
      </c>
      <c r="J31" s="1">
        <f ca="1">_xll.QCurves_GetForwardRate($C$21,H31,H32,"Linear","Act365F")</f>
        <v>9.5460487674963276E-2</v>
      </c>
    </row>
    <row r="32" spans="2:10" x14ac:dyDescent="0.25">
      <c r="H32" s="2">
        <f t="shared" ca="1" si="1"/>
        <v>45911</v>
      </c>
      <c r="I32" s="1">
        <f ca="1">_xll.QCurves_GetDF($C$21,valDate,H32)</f>
        <v>0.55309088475855583</v>
      </c>
      <c r="J32" s="1">
        <f ca="1">_xll.QCurves_GetForwardRate($C$21,H32,H33,"Linear","Act365F")</f>
        <v>9.2661905221587765E-2</v>
      </c>
    </row>
    <row r="33" spans="8:10" x14ac:dyDescent="0.25">
      <c r="H33" s="2">
        <f t="shared" ca="1" si="1"/>
        <v>46002</v>
      </c>
      <c r="I33" s="1">
        <f ca="1">_xll.QCurves_GetDF($C$21,valDate,H33)</f>
        <v>0.54060189478624432</v>
      </c>
      <c r="J33" s="1">
        <f ca="1">_xll.QCurves_GetForwardRate($C$21,H33,H34,"Linear","Act365F")</f>
        <v>9.3144509356420324E-2</v>
      </c>
    </row>
    <row r="34" spans="8:10" x14ac:dyDescent="0.25">
      <c r="H34" s="2">
        <f t="shared" ca="1" si="1"/>
        <v>46092</v>
      </c>
      <c r="I34" s="1">
        <f ca="1">_xll.QCurves_GetDF($C$21,valDate,H34)</f>
        <v>0.52846457527431079</v>
      </c>
      <c r="J34" s="1">
        <f ca="1">_xll.QCurves_GetForwardRate($C$21,H34,H35,"Linear","Act365F")</f>
        <v>9.3665420316010106E-2</v>
      </c>
    </row>
    <row r="35" spans="8:10" x14ac:dyDescent="0.25">
      <c r="H35" s="2">
        <f t="shared" ca="1" si="1"/>
        <v>46184</v>
      </c>
      <c r="I35" s="1">
        <f ca="1">_xll.QCurves_GetDF($C$21,valDate,H35)</f>
        <v>0.51627591111097348</v>
      </c>
      <c r="J35" s="1">
        <f ca="1">_xll.QCurves_GetForwardRate($C$21,H35,H36,"Linear","Act365F")</f>
        <v>9.4168264565581722E-2</v>
      </c>
    </row>
    <row r="36" spans="8:10" x14ac:dyDescent="0.25">
      <c r="H36" s="2">
        <f t="shared" ca="1" si="1"/>
        <v>46276</v>
      </c>
      <c r="I36" s="1">
        <f ca="1">_xll.QCurves_GetDF($C$21,valDate,H36)</f>
        <v>0.50430592624150583</v>
      </c>
      <c r="J36" s="1">
        <f ca="1">_xll.QCurves_GetForwardRate($C$21,H36,H37,"Linear","Act365F")</f>
        <v>9.4656258397491214E-2</v>
      </c>
    </row>
    <row r="37" spans="8:10" x14ac:dyDescent="0.25">
      <c r="H37" s="2">
        <f t="shared" ca="1" si="1"/>
        <v>46367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workbookViewId="0">
      <selection activeCell="C31" sqref="C31"/>
    </sheetView>
  </sheetViews>
  <sheetFormatPr defaultRowHeight="15" x14ac:dyDescent="0.25"/>
  <cols>
    <col min="3" max="3" width="15.5703125" customWidth="1"/>
    <col min="8" max="8" width="10.7109375" bestFit="1" customWidth="1"/>
    <col min="9" max="9" width="11.42578125" customWidth="1"/>
    <col min="10" max="10" width="7.42578125" bestFit="1" customWidth="1"/>
  </cols>
  <sheetData>
    <row r="1" spans="2:11" x14ac:dyDescent="0.25">
      <c r="B1" t="s">
        <v>24</v>
      </c>
      <c r="C1" s="2">
        <f ca="1">TODAY()</f>
        <v>43354</v>
      </c>
    </row>
    <row r="2" spans="2:11" x14ac:dyDescent="0.25">
      <c r="B2" t="s">
        <v>25</v>
      </c>
      <c r="C2" t="str">
        <f>_xll.QIns_CreateRateIndex("ZAR.JIBAR.3M","ZAR","3M","Act365F","Act365F","3M","JHB","0b","MF")</f>
        <v>ZAR.JIBAR.3M¬1</v>
      </c>
      <c r="I2" s="3"/>
    </row>
    <row r="3" spans="2:11" x14ac:dyDescent="0.25">
      <c r="B3" t="s">
        <v>31</v>
      </c>
      <c r="C3" t="str">
        <f>_xll.QIns_CreateRateIndex("ZAR.OIS.1B","ZAR","3M","Act365F","Act365F","3M","JHB","0b","MF")</f>
        <v>ZAR.OIS.1B¬1</v>
      </c>
      <c r="I3" t="s">
        <v>36</v>
      </c>
      <c r="J3" t="s">
        <v>30</v>
      </c>
      <c r="K3" t="s">
        <v>37</v>
      </c>
    </row>
    <row r="4" spans="2:11" x14ac:dyDescent="0.25">
      <c r="H4" s="2">
        <f ca="1">valDate</f>
        <v>43354</v>
      </c>
      <c r="I4" s="1">
        <f ca="1">_xll.QCurves_GetDF($C$32,valDate,H4)</f>
        <v>1</v>
      </c>
      <c r="J4" s="1">
        <f ca="1">_xll.QCurves_GetForwardRate($C$32,H4,H5,"Linear","Act365F")</f>
        <v>7.0250000000000784E-2</v>
      </c>
      <c r="K4" s="1">
        <f ca="1">_xll.QCurves_GetDF($C$33,valDate,H4)</f>
        <v>1</v>
      </c>
    </row>
    <row r="5" spans="2:11" x14ac:dyDescent="0.25">
      <c r="H5" s="2">
        <f ca="1">EDATE(H4,3)</f>
        <v>43445</v>
      </c>
      <c r="I5" s="1">
        <f ca="1">_xll.QCurves_GetDF($C$32,valDate,H5)</f>
        <v>0.9827870899472323</v>
      </c>
      <c r="J5" s="1">
        <f ca="1">_xll.QCurves_GetForwardRate($C$32,H5,H6,"Linear","Act365F")</f>
        <v>7.2799999999999629E-2</v>
      </c>
      <c r="K5" s="1">
        <f ca="1">_xll.QCurves_GetDF($C$33,valDate,H5)</f>
        <v>0.98375125916792172</v>
      </c>
    </row>
    <row r="6" spans="2:11" x14ac:dyDescent="0.25">
      <c r="B6" t="s">
        <v>0</v>
      </c>
      <c r="C6" t="s">
        <v>1</v>
      </c>
      <c r="D6">
        <f>_xll.BDP(C6,"PX_LAST")</f>
        <v>7.0250000000000004</v>
      </c>
      <c r="E6" s="1">
        <f>D6/100</f>
        <v>7.0250000000000007E-2</v>
      </c>
      <c r="F6" t="str">
        <f ca="1">_xll.QIns_CreateFRA("OISFra_"&amp;B6,valDate,"0x3",index,"ZAR",E6,1,"ZAR.JIBAR.3M","ZAR.OIS.1B",,,"ZAR.JIBAR.3M")</f>
        <v>OISFra_3m¬0</v>
      </c>
      <c r="H6" s="2">
        <f t="shared" ref="H6:H37" ca="1" si="0">EDATE(H5,3)</f>
        <v>43535</v>
      </c>
      <c r="I6" s="1">
        <f ca="1">_xll.QCurves_GetDF($C$32,valDate,H6)</f>
        <v>0.96545648477397461</v>
      </c>
      <c r="J6" s="1">
        <f ca="1">_xll.QCurves_GetForwardRate($C$32,H6,H7,"Linear","Act365F")</f>
        <v>7.4699999999999475E-2</v>
      </c>
      <c r="K6" s="1">
        <f ca="1">_xll.QCurves_GetDF($C$33,valDate,H6)</f>
        <v>0.96734091682011292</v>
      </c>
    </row>
    <row r="7" spans="2:11" x14ac:dyDescent="0.25">
      <c r="B7" t="s">
        <v>2</v>
      </c>
      <c r="C7" t="s">
        <v>3</v>
      </c>
      <c r="D7">
        <f>_xll.BDP(C7,"PX_LAST")</f>
        <v>7.28</v>
      </c>
      <c r="E7" s="1">
        <f t="shared" ref="E7:E17" si="1">D7/100</f>
        <v>7.2800000000000004E-2</v>
      </c>
      <c r="F7" t="str">
        <f ca="1">_xll.QIns_CreateFRA("OISFra_"&amp;B7,valDate,B7,index,"ZAR",E7,1,"ZAR.JIBAR.3M","ZAR.OIS.1B",,,"ZAR.JIBAR.3M")</f>
        <v>OISFra_3x6¬0</v>
      </c>
      <c r="H7" s="2">
        <f t="shared" ca="1" si="0"/>
        <v>43627</v>
      </c>
      <c r="I7" s="1">
        <f ca="1">_xll.QCurves_GetDF($C$32,valDate,H7)</f>
        <v>0.94761433476240975</v>
      </c>
      <c r="J7" s="1">
        <f ca="1">_xll.QCurves_GetForwardRate($C$32,H7,H8,"Linear","Act365F")</f>
        <v>7.7500000000000249E-2</v>
      </c>
      <c r="K7" s="1">
        <f ca="1">_xll.QCurves_GetDF($C$33,valDate,H7)</f>
        <v>0.9504044491514535</v>
      </c>
    </row>
    <row r="8" spans="2:11" x14ac:dyDescent="0.25">
      <c r="B8" t="s">
        <v>4</v>
      </c>
      <c r="C8" t="s">
        <v>5</v>
      </c>
      <c r="D8">
        <f>_xll.BDP(C8,"PX_LAST")</f>
        <v>7.47</v>
      </c>
      <c r="E8" s="1">
        <f t="shared" si="1"/>
        <v>7.4700000000000003E-2</v>
      </c>
      <c r="F8" t="str">
        <f ca="1">_xll.QIns_CreateFRA("OISFra_"&amp;B8,valDate,B8,index,"ZAR",E8,1,"ZAR.JIBAR.3M","ZAR.OIS.1B",,,"ZAR.JIBAR.3M")</f>
        <v>OISFra_6x9¬0</v>
      </c>
      <c r="H8" s="2">
        <f t="shared" ca="1" si="0"/>
        <v>43719</v>
      </c>
      <c r="I8" s="1">
        <f ca="1">_xll.QCurves_GetDF($C$32,valDate,H8)</f>
        <v>0.92945807161013494</v>
      </c>
      <c r="J8" s="1">
        <f ca="1">_xll.QCurves_GetForwardRate($C$32,H8,H9,"Linear","Act365F")</f>
        <v>7.8500000000000139E-2</v>
      </c>
      <c r="K8" s="1">
        <f ca="1">_xll.QCurves_GetDF($C$33,valDate,H8)</f>
        <v>0.93311748898564284</v>
      </c>
    </row>
    <row r="9" spans="2:11" x14ac:dyDescent="0.25">
      <c r="B9" t="s">
        <v>6</v>
      </c>
      <c r="C9" t="s">
        <v>7</v>
      </c>
      <c r="D9">
        <f>_xll.BDP(C9,"PX_LAST")</f>
        <v>7.75</v>
      </c>
      <c r="E9" s="1">
        <f t="shared" si="1"/>
        <v>7.7499999999999999E-2</v>
      </c>
      <c r="F9" t="str">
        <f ca="1">_xll.QIns_CreateFRA("OISFra_"&amp;B9,valDate,B9,index,"ZAR",E9,1,"ZAR.JIBAR.3M","ZAR.OIS.1B",,,"ZAR.JIBAR.3M")</f>
        <v>OISFra_9x12¬0</v>
      </c>
      <c r="H9" s="2">
        <f t="shared" ca="1" si="0"/>
        <v>43810</v>
      </c>
      <c r="I9" s="1">
        <f ca="1">_xll.QCurves_GetDF($C$32,valDate,H9)</f>
        <v>0.91161661062923127</v>
      </c>
      <c r="J9" s="1">
        <f ca="1">_xll.QCurves_GetForwardRate($C$32,H9,H10,"Linear","Act365F")</f>
        <v>7.9799999999999524E-2</v>
      </c>
      <c r="K9" s="1">
        <f ca="1">_xll.QCurves_GetDF($C$33,valDate,H9)</f>
        <v>0.91615444467808482</v>
      </c>
    </row>
    <row r="10" spans="2:11" x14ac:dyDescent="0.25">
      <c r="B10" t="s">
        <v>8</v>
      </c>
      <c r="C10" t="s">
        <v>9</v>
      </c>
      <c r="D10">
        <f>_xll.BDP(C10,"PX_LAST")</f>
        <v>7.85</v>
      </c>
      <c r="E10" s="1">
        <f t="shared" si="1"/>
        <v>7.85E-2</v>
      </c>
      <c r="F10" t="str">
        <f ca="1">_xll.QIns_CreateFRA("OISFra_"&amp;B10,valDate,B10,index,"ZAR",E10,1,"ZAR.JIBAR.3M","ZAR.OIS.1B",,,"ZAR.JIBAR.3M")</f>
        <v>OISFra_12x15¬0</v>
      </c>
      <c r="H10" s="2">
        <f t="shared" ca="1" si="0"/>
        <v>43901</v>
      </c>
      <c r="I10" s="1">
        <f ca="1">_xll.QCurves_GetDF($C$32,valDate,H10)</f>
        <v>0.89383348729219447</v>
      </c>
      <c r="J10" s="1">
        <f ca="1">_xll.QCurves_GetForwardRate($C$32,H10,H11,"Linear","Act365F")</f>
        <v>7.9842637216428577E-2</v>
      </c>
      <c r="K10" s="1">
        <f ca="1">_xll.QCurves_GetDF($C$33,valDate,H10)</f>
        <v>0.89910941775419073</v>
      </c>
    </row>
    <row r="11" spans="2:11" x14ac:dyDescent="0.25">
      <c r="B11" t="s">
        <v>10</v>
      </c>
      <c r="C11" t="s">
        <v>11</v>
      </c>
      <c r="D11">
        <f>_xll.BDP(C11,"PX_LAST")</f>
        <v>7.98</v>
      </c>
      <c r="E11" s="1">
        <f t="shared" si="1"/>
        <v>7.980000000000001E-2</v>
      </c>
      <c r="F11" t="str">
        <f ca="1">_xll.QIns_CreateFRA("OISFra_"&amp;B11,valDate,B11,index,"ZAR",E11,1,"ZAR.JIBAR.3M","ZAR.OIS.1B",,,"ZAR.JIBAR.3M")</f>
        <v>OISFra_15x18¬0</v>
      </c>
      <c r="H11" s="2">
        <f t="shared" ca="1" si="0"/>
        <v>43993</v>
      </c>
      <c r="I11" s="1">
        <f ca="1">_xll.QCurves_GetDF($C$32,valDate,H11)</f>
        <v>0.87620020394653664</v>
      </c>
      <c r="J11" s="1">
        <f ca="1">_xll.QCurves_GetForwardRate($C$32,H11,H12,"Linear","Act365F")</f>
        <v>8.1064096357870888E-2</v>
      </c>
      <c r="K11" s="1">
        <f ca="1">_xll.QCurves_GetDF($C$33,valDate,H11)</f>
        <v>0.88224399825491229</v>
      </c>
    </row>
    <row r="12" spans="2:11" x14ac:dyDescent="0.25">
      <c r="B12" t="s">
        <v>12</v>
      </c>
      <c r="C12" t="s">
        <v>18</v>
      </c>
      <c r="D12">
        <f>_xll.BDP(C12,"PX_LAST")</f>
        <v>7.6675000000000004</v>
      </c>
      <c r="E12" s="1">
        <f t="shared" si="1"/>
        <v>7.6675000000000007E-2</v>
      </c>
      <c r="F12" t="str">
        <f ca="1">_xll.QIns_CreateIRS("OISSwap_"&amp;B12,valDate,B12,index,E12,1,"ZAR.JIBAR.3M","ZAR.OIS.1B","Pay","ZAR.JIBAR.3M")</f>
        <v>OISSwap_2y¬0</v>
      </c>
      <c r="H12" s="2">
        <f t="shared" ca="1" si="0"/>
        <v>44085</v>
      </c>
      <c r="I12" s="1">
        <f ca="1">_xll.QCurves_GetDF($C$32,valDate,H12)</f>
        <v>0.85865564170456976</v>
      </c>
      <c r="J12" s="1">
        <f ca="1">_xll.QCurves_GetForwardRate($C$32,H12,H13,"Linear","Act365F")</f>
        <v>8.1950906918311028E-2</v>
      </c>
      <c r="K12" s="1">
        <f ca="1">_xll.QCurves_GetDF($C$33,valDate,H12)</f>
        <v>0.86543349533498681</v>
      </c>
    </row>
    <row r="13" spans="2:11" x14ac:dyDescent="0.25">
      <c r="B13" t="s">
        <v>13</v>
      </c>
      <c r="C13" t="s">
        <v>19</v>
      </c>
      <c r="D13">
        <f>_xll.BDP(C13,"PX_LAST")</f>
        <v>7.8849999999999998</v>
      </c>
      <c r="E13" s="1">
        <f t="shared" si="1"/>
        <v>7.8850000000000003E-2</v>
      </c>
      <c r="F13" t="str">
        <f ca="1">_xll.QIns_CreateIRS("OISSwap_"&amp;B13,valDate,B13,index,E13,1,"ZAR.JIBAR.3M","ZAR.OIS.1B","Pay","ZAR.JIBAR.3M")</f>
        <v>OISSwap_3y¬0</v>
      </c>
      <c r="H13" s="2">
        <f t="shared" ca="1" si="0"/>
        <v>44176</v>
      </c>
      <c r="I13" s="1">
        <f ca="1">_xll.QCurves_GetDF($C$32,valDate,H13)</f>
        <v>0.84146320546568354</v>
      </c>
      <c r="J13" s="1">
        <f ca="1">_xll.QCurves_GetForwardRate($C$32,H13,H14,"Linear","Act365F")</f>
        <v>8.3073121110234779E-2</v>
      </c>
      <c r="K13" s="1">
        <f ca="1">_xll.QCurves_GetDF($C$33,valDate,H13)</f>
        <v>0.84911974800451728</v>
      </c>
    </row>
    <row r="14" spans="2:11" x14ac:dyDescent="0.25">
      <c r="B14" t="s">
        <v>14</v>
      </c>
      <c r="C14" t="s">
        <v>20</v>
      </c>
      <c r="D14">
        <f>_xll.BDP(C14,"PX_LAST")</f>
        <v>8.0374999999999996</v>
      </c>
      <c r="E14" s="1">
        <f t="shared" si="1"/>
        <v>8.0375000000000002E-2</v>
      </c>
      <c r="F14" t="str">
        <f ca="1">_xll.QIns_CreateIRS("OISSwap_"&amp;B14,valDate,B14,index,E14,1,"ZAR.JIBAR.3M","ZAR.OIS.1B","Pay","ZAR.JIBAR.3M")</f>
        <v>OISSwap_4y¬0</v>
      </c>
      <c r="H14" s="2">
        <f t="shared" ca="1" si="0"/>
        <v>44266</v>
      </c>
      <c r="I14" s="1">
        <f ca="1">_xll.QCurves_GetDF($C$32,valDate,H14)</f>
        <v>0.82457283422470196</v>
      </c>
      <c r="J14" s="1">
        <f ca="1">_xll.QCurves_GetForwardRate($C$32,H14,H15,"Linear","Act365F")</f>
        <v>8.4230333626428192E-2</v>
      </c>
      <c r="K14" s="1">
        <f ca="1">_xll.QCurves_GetDF($C$33,valDate,H14)</f>
        <v>0.83309926423548697</v>
      </c>
    </row>
    <row r="15" spans="2:11" x14ac:dyDescent="0.25">
      <c r="B15" t="s">
        <v>15</v>
      </c>
      <c r="C15" t="s">
        <v>21</v>
      </c>
      <c r="D15">
        <f>_xll.BDP(C15,"PX_LAST")</f>
        <v>8.1850000000000005</v>
      </c>
      <c r="E15" s="1">
        <f t="shared" si="1"/>
        <v>8.1850000000000006E-2</v>
      </c>
      <c r="F15" t="str">
        <f ca="1">_xll.QIns_CreateIRS("OISSwap_"&amp;B15,valDate,B15,index,E15,1,"ZAR.JIBAR.3M","ZAR.OIS.1B","Pay","ZAR.JIBAR.3M")</f>
        <v>OISSwap_5y¬0</v>
      </c>
      <c r="H15" s="2">
        <f t="shared" ca="1" si="0"/>
        <v>44358</v>
      </c>
      <c r="I15" s="1">
        <f ca="1">_xll.QCurves_GetDF($C$32,valDate,H15)</f>
        <v>0.80743055117559626</v>
      </c>
      <c r="J15" s="1">
        <f ca="1">_xll.QCurves_GetForwardRate($C$32,H15,H16,"Linear","Act365F")</f>
        <v>8.5381599349537929E-2</v>
      </c>
      <c r="K15" s="1">
        <f ca="1">_xll.QCurves_GetDF($C$33,valDate,H15)</f>
        <v>0.8168451639322053</v>
      </c>
    </row>
    <row r="16" spans="2:11" x14ac:dyDescent="0.25">
      <c r="B16" t="s">
        <v>16</v>
      </c>
      <c r="C16" t="s">
        <v>22</v>
      </c>
      <c r="D16">
        <f>_xll.BDP(C16,"PX_LAST")</f>
        <v>8.4320000000000004</v>
      </c>
      <c r="E16" s="1">
        <f t="shared" si="1"/>
        <v>8.4320000000000006E-2</v>
      </c>
      <c r="F16" t="str">
        <f ca="1">_xll.QIns_CreateIRS("OISSwap_"&amp;B16,valDate,B16,index,E16,1,"ZAR.JIBAR.3M","ZAR.OIS.1B","Pay","ZAR.JIBAR.3M")</f>
        <v>OISSwap_7y¬0</v>
      </c>
      <c r="H16" s="2">
        <f t="shared" ca="1" si="0"/>
        <v>44450</v>
      </c>
      <c r="I16" s="1">
        <f ca="1">_xll.QCurves_GetDF($C$32,valDate,H16)</f>
        <v>0.7904200466491379</v>
      </c>
      <c r="J16" s="1">
        <f ca="1">_xll.QCurves_GetForwardRate($C$32,H16,H17,"Linear","Act365F")</f>
        <v>8.4557755057582923E-2</v>
      </c>
      <c r="K16" s="1">
        <f ca="1">_xll.QCurves_GetDF($C$33,valDate,H16)</f>
        <v>0.8007199181669622</v>
      </c>
    </row>
    <row r="17" spans="2:11" x14ac:dyDescent="0.25">
      <c r="B17" t="s">
        <v>17</v>
      </c>
      <c r="C17" t="s">
        <v>23</v>
      </c>
      <c r="D17">
        <f>_xll.BDP(C17,"PX_LAST")</f>
        <v>8.6649999999999991</v>
      </c>
      <c r="E17" s="1">
        <f t="shared" si="1"/>
        <v>8.6649999999999991E-2</v>
      </c>
      <c r="F17" t="str">
        <f ca="1">_xll.QIns_CreateIRS("OISSwap_"&amp;B17,valDate,B17,index,E17,1,"ZAR.JIBAR.3M","ZAR.OIS.1B","Pay","ZAR.JIBAR.3M")</f>
        <v>OISSwap_10y¬0</v>
      </c>
      <c r="H17" s="2">
        <f t="shared" ca="1" si="0"/>
        <v>44541</v>
      </c>
      <c r="I17" s="1">
        <f ca="1">_xll.QCurves_GetDF($C$32,valDate,H17)</f>
        <v>0.7741008227420263</v>
      </c>
      <c r="J17" s="1">
        <f ca="1">_xll.QCurves_GetForwardRate($C$32,H17,H18,"Linear","Act365F")</f>
        <v>8.5334097121602906E-2</v>
      </c>
      <c r="K17" s="1">
        <f ca="1">_xll.QCurves_GetDF($C$33,valDate,H17)</f>
        <v>0.78490157286767481</v>
      </c>
    </row>
    <row r="18" spans="2:11" x14ac:dyDescent="0.25">
      <c r="B18" t="s">
        <v>0</v>
      </c>
      <c r="E18" s="3">
        <v>4.0000000000000001E-3</v>
      </c>
      <c r="F18" t="str">
        <f ca="1">_xll.QIns_CreateIRBasisSwap("OIS_"&amp;B18,valDate,B18,oisIndex,index,E18,TRUE,1,"ZAR.OIS.1B","ZAR.JIBAR.3M","ZAR.OIS.1B","ZAR.OIS.1B")</f>
        <v>OIS_3m¬0</v>
      </c>
      <c r="H18" s="2">
        <f t="shared" ca="1" si="0"/>
        <v>44631</v>
      </c>
      <c r="I18" s="1">
        <f ca="1">_xll.QCurves_GetDF($C$32,valDate,H18)</f>
        <v>0.7581484066357258</v>
      </c>
      <c r="J18" s="1">
        <f ca="1">_xll.QCurves_GetForwardRate($C$32,H18,H19,"Linear","Act365F")</f>
        <v>8.6185728618481366E-2</v>
      </c>
      <c r="K18" s="1">
        <f ca="1">_xll.QCurves_GetDF($C$33,valDate,H18)</f>
        <v>0.76939035534761735</v>
      </c>
    </row>
    <row r="19" spans="2:11" x14ac:dyDescent="0.25">
      <c r="B19" t="s">
        <v>32</v>
      </c>
      <c r="E19" s="3">
        <v>4.0000000000000001E-3</v>
      </c>
      <c r="F19" t="str">
        <f ca="1">_xll.QIns_CreateIRBasisSwap("OIS_"&amp;B19,valDate,B19,oisIndex,index,E19,TRUE,1,"ZAR.OIS.1B","ZAR.JIBAR.3M","ZAR.OIS.1B","ZAR.OIS.1B")</f>
        <v>OIS_6m¬0</v>
      </c>
      <c r="H19" s="2">
        <f t="shared" ca="1" si="0"/>
        <v>44723</v>
      </c>
      <c r="I19" s="1">
        <f ca="1">_xll.QCurves_GetDF($C$32,valDate,H19)</f>
        <v>0.74202892196935799</v>
      </c>
      <c r="J19" s="1">
        <f ca="1">_xll.QCurves_GetForwardRate($C$32,H19,H20,"Linear","Act365F")</f>
        <v>8.702685948779712E-2</v>
      </c>
      <c r="K19" s="1">
        <f ca="1">_xll.QCurves_GetDF($C$33,valDate,H19)</f>
        <v>0.75367594163225826</v>
      </c>
    </row>
    <row r="20" spans="2:11" x14ac:dyDescent="0.25">
      <c r="B20" t="s">
        <v>33</v>
      </c>
      <c r="E20" s="3">
        <v>4.0000000000000001E-3</v>
      </c>
      <c r="F20" t="str">
        <f ca="1">_xll.QIns_CreateIRBasisSwap("OIS_"&amp;B20,valDate,B20,oisIndex,index,E20,TRUE,1,"ZAR.OIS.1B","ZAR.JIBAR.3M","ZAR.OIS.1B","ZAR.OIS.1B")</f>
        <v>OIS_9m¬0</v>
      </c>
      <c r="H20" s="2">
        <f t="shared" ca="1" si="0"/>
        <v>44815</v>
      </c>
      <c r="I20" s="1">
        <f ca="1">_xll.QCurves_GetDF($C$32,valDate,H20)</f>
        <v>0.72610149561158499</v>
      </c>
      <c r="J20" s="1">
        <f ca="1">_xll.QCurves_GetForwardRate($C$32,H20,H21,"Linear","Act365F")</f>
        <v>8.7880030400768583E-2</v>
      </c>
      <c r="K20" s="1">
        <f ca="1">_xll.QCurves_GetDF($C$33,valDate,H20)</f>
        <v>0.73810893892134133</v>
      </c>
    </row>
    <row r="21" spans="2:11" x14ac:dyDescent="0.25">
      <c r="B21" t="s">
        <v>34</v>
      </c>
      <c r="E21" s="3">
        <v>4.0000000000000001E-3</v>
      </c>
      <c r="F21" t="str">
        <f ca="1">_xll.QIns_CreateIRBasisSwap("OIS_"&amp;B21,valDate,B21,oisIndex,index,E21,TRUE,1,"ZAR.OIS.1B","ZAR.JIBAR.3M","ZAR.OIS.1B","ZAR.OIS.1B")</f>
        <v>OIS_1y¬0</v>
      </c>
      <c r="H21" s="2">
        <f t="shared" ca="1" si="0"/>
        <v>44906</v>
      </c>
      <c r="I21" s="1">
        <f ca="1">_xll.QCurves_GetDF($C$32,valDate,H21)</f>
        <v>0.71053383027169559</v>
      </c>
      <c r="J21" s="1">
        <f ca="1">_xll.QCurves_GetForwardRate($C$32,H21,H22,"Linear","Act365F")</f>
        <v>8.8700353527939077E-2</v>
      </c>
      <c r="K21" s="1">
        <f ca="1">_xll.QCurves_GetDF($C$33,valDate,H21)</f>
        <v>0.72286027472739678</v>
      </c>
    </row>
    <row r="22" spans="2:11" x14ac:dyDescent="0.25">
      <c r="B22" t="s">
        <v>35</v>
      </c>
      <c r="E22" s="3">
        <v>4.0000000000000001E-3</v>
      </c>
      <c r="F22" t="str">
        <f ca="1">_xll.QIns_CreateIRBasisSwap("OIS_"&amp;B22,valDate,B22,oisIndex,index,E22,TRUE,1,"ZAR.OIS.1B","ZAR.JIBAR.3M","ZAR.OIS.1B","ZAR.OIS.1B")</f>
        <v>OIS_18m¬0</v>
      </c>
      <c r="H22" s="2">
        <f t="shared" ca="1" si="0"/>
        <v>44996</v>
      </c>
      <c r="I22" s="1">
        <f ca="1">_xll.QCurves_GetDF($C$32,valDate,H22)</f>
        <v>0.69532612994592147</v>
      </c>
      <c r="J22" s="1">
        <f ca="1">_xll.QCurves_GetForwardRate($C$32,H22,H23,"Linear","Act365F")</f>
        <v>8.955746058083941E-2</v>
      </c>
      <c r="K22" s="1">
        <f ca="1">_xll.QCurves_GetDF($C$33,valDate,H22)</f>
        <v>0.70792887397166893</v>
      </c>
    </row>
    <row r="23" spans="2:11" x14ac:dyDescent="0.25">
      <c r="B23" t="s">
        <v>12</v>
      </c>
      <c r="E23" s="3">
        <v>4.0000000000000001E-3</v>
      </c>
      <c r="F23" t="str">
        <f ca="1">_xll.QIns_CreateIRBasisSwap("OIS_"&amp;B23,valDate,B23,oisIndex,index,E23,TRUE,1,"ZAR.OIS.1B","ZAR.JIBAR.3M","ZAR.OIS.1B","ZAR.OIS.1B")</f>
        <v>OIS_2y¬0</v>
      </c>
      <c r="H23" s="2">
        <f t="shared" ca="1" si="0"/>
        <v>45088</v>
      </c>
      <c r="I23" s="1">
        <f ca="1">_xll.QCurves_GetDF($C$32,valDate,H23)</f>
        <v>0.67997675136569813</v>
      </c>
      <c r="J23" s="1">
        <f ca="1">_xll.QCurves_GetForwardRate($C$32,H23,H24,"Linear","Act365F")</f>
        <v>9.0402522752556377E-2</v>
      </c>
      <c r="K23" s="1">
        <f ca="1">_xll.QCurves_GetDF($C$33,valDate,H23)</f>
        <v>0.69282326581725506</v>
      </c>
    </row>
    <row r="24" spans="2:11" x14ac:dyDescent="0.25">
      <c r="B24" t="s">
        <v>15</v>
      </c>
      <c r="E24" s="3">
        <v>4.0000000000000001E-3</v>
      </c>
      <c r="F24" t="str">
        <f ca="1">_xll.QIns_CreateIRBasisSwap("OIS_"&amp;B24,valDate,B24,oisIndex,index,E24,TRUE,1,"ZAR.OIS.1B","ZAR.JIBAR.3M","ZAR.OIS.1B","ZAR.OIS.1B")</f>
        <v>OIS_5y¬0</v>
      </c>
      <c r="H24" s="2">
        <f t="shared" ca="1" si="0"/>
        <v>45180</v>
      </c>
      <c r="I24" s="1">
        <f ca="1">_xll.QCurves_GetDF($C$32,valDate,H24)</f>
        <v>0.66482772794168821</v>
      </c>
      <c r="J24" s="1">
        <f ca="1">_xll.QCurves_GetForwardRate($C$32,H24,H25,"Linear","Act365F")</f>
        <v>9.0136764411830356E-2</v>
      </c>
      <c r="K24" s="1">
        <f ca="1">_xll.QCurves_GetDF($C$33,valDate,H24)</f>
        <v>0.67788059048674476</v>
      </c>
    </row>
    <row r="25" spans="2:11" x14ac:dyDescent="0.25">
      <c r="B25" t="s">
        <v>17</v>
      </c>
      <c r="E25" s="3">
        <v>4.0000000000000001E-3</v>
      </c>
      <c r="F25" t="str">
        <f ca="1">_xll.QIns_CreateIRBasisSwap("OIS_"&amp;B25,valDate,B25,oisIndex,index,E25,TRUE,1,"ZAR.OIS.1B","ZAR.JIBAR.3M","ZAR.OIS.1B","ZAR.OIS.1B")</f>
        <v>OIS_10y¬0</v>
      </c>
      <c r="H25" s="2">
        <f t="shared" ca="1" si="0"/>
        <v>45271</v>
      </c>
      <c r="I25" s="1">
        <f ca="1">_xll.QCurves_GetDF($C$32,valDate,H25)</f>
        <v>0.65021578391222823</v>
      </c>
      <c r="J25" s="1">
        <f ca="1">_xll.QCurves_GetForwardRate($C$32,H25,H26,"Linear","Act365F")</f>
        <v>9.0868583347310045E-2</v>
      </c>
      <c r="K25" s="1">
        <f ca="1">_xll.QCurves_GetDF($C$33,valDate,H25)</f>
        <v>0.66385703815433872</v>
      </c>
    </row>
    <row r="26" spans="2:11" x14ac:dyDescent="0.25">
      <c r="H26" s="2">
        <f t="shared" ca="1" si="0"/>
        <v>45362</v>
      </c>
      <c r="I26" s="1">
        <f ca="1">_xll.QCurves_GetDF($C$32,valDate,H26)</f>
        <v>0.63581153271741697</v>
      </c>
      <c r="J26" s="1">
        <f ca="1">_xll.QCurves_GetForwardRate($C$32,H26,H27,"Linear","Act365F")</f>
        <v>9.1615964415175832E-2</v>
      </c>
      <c r="K26" s="1">
        <f ca="1">_xll.QCurves_GetDF($C$33,valDate,H26)</f>
        <v>0.6500292288278654</v>
      </c>
    </row>
    <row r="27" spans="2:11" x14ac:dyDescent="0.25">
      <c r="H27" s="2">
        <f t="shared" ca="1" si="0"/>
        <v>45454</v>
      </c>
      <c r="I27" s="1">
        <f ca="1">_xll.QCurves_GetDF($C$32,valDate,H27)</f>
        <v>0.62146061317004953</v>
      </c>
      <c r="J27" s="1">
        <f ca="1">_xll.QCurves_GetForwardRate($C$32,H27,H28,"Linear","Act365F")</f>
        <v>9.2356275256131104E-2</v>
      </c>
      <c r="K27" s="1">
        <f ca="1">_xll.QCurves_GetDF($C$33,valDate,H27)</f>
        <v>0.63624833980417228</v>
      </c>
    </row>
    <row r="28" spans="2:11" x14ac:dyDescent="0.25">
      <c r="H28" s="2">
        <f t="shared" ca="1" si="0"/>
        <v>45546</v>
      </c>
      <c r="I28" s="1">
        <f ca="1">_xll.QCurves_GetDF($C$32,valDate,H28)</f>
        <v>0.60732284072844955</v>
      </c>
      <c r="J28" s="1">
        <f ca="1">_xll.QCurves_GetForwardRate($C$32,H28,H29,"Linear","Act365F")</f>
        <v>9.3080917788305087E-2</v>
      </c>
      <c r="K28" s="1">
        <f ca="1">_xll.QCurves_GetDF($C$33,valDate,H28)</f>
        <v>0.62266721870191188</v>
      </c>
    </row>
    <row r="29" spans="2:11" x14ac:dyDescent="0.25">
      <c r="B29" t="s">
        <v>26</v>
      </c>
      <c r="C29" t="str">
        <f ca="1">_xll.QIns_CreateFundingInstrumentCollection("FundingInstrumentsOis",F6:F25)</f>
        <v>FundingInstrumentsOis¬0</v>
      </c>
      <c r="H29" s="2">
        <f t="shared" ca="1" si="0"/>
        <v>45637</v>
      </c>
      <c r="I29" s="1">
        <f ca="1">_xll.QCurves_GetDF($C$32,valDate,H29)</f>
        <v>0.59354866816564278</v>
      </c>
      <c r="J29" s="1">
        <f ca="1">_xll.QCurves_GetForwardRate($C$32,H29,H30,"Linear","Act365F")</f>
        <v>9.3797276742446756E-2</v>
      </c>
      <c r="K29" s="1">
        <f ca="1">_xll.QCurves_GetDF($C$33,valDate,H29)</f>
        <v>0.60942996944214067</v>
      </c>
    </row>
    <row r="30" spans="2:11" x14ac:dyDescent="0.25">
      <c r="H30" s="2">
        <f t="shared" ca="1" si="0"/>
        <v>45727</v>
      </c>
      <c r="I30" s="1">
        <f ca="1">_xll.QCurves_GetDF($C$32,valDate,H30)</f>
        <v>0.58013133516501425</v>
      </c>
      <c r="J30" s="1">
        <f ca="1">_xll.QCurves_GetForwardRate($C$32,H30,H31,"Linear","Act365F")</f>
        <v>9.4553862103882086E-2</v>
      </c>
      <c r="K30" s="1">
        <f ca="1">_xll.QCurves_GetDF($C$33,valDate,H30)</f>
        <v>0.59652981641541047</v>
      </c>
    </row>
    <row r="31" spans="2:11" x14ac:dyDescent="0.25">
      <c r="B31" t="s">
        <v>27</v>
      </c>
      <c r="C31" t="str">
        <f ca="1">_xll.QCurves_CreateFundingModel("ModelOis",valDate,C29)</f>
        <v>ModelOis¬0</v>
      </c>
      <c r="H31" s="2">
        <f t="shared" ca="1" si="0"/>
        <v>45819</v>
      </c>
      <c r="I31" s="1">
        <f ca="1">_xll.QCurves_GetDF($C$32,valDate,H31)</f>
        <v>0.56662705186735196</v>
      </c>
      <c r="J31" s="1">
        <f ca="1">_xll.QCurves_GetForwardRate($C$32,H31,H32,"Linear","Act365F")</f>
        <v>9.5294708779677398E-2</v>
      </c>
      <c r="K31" s="1">
        <f ca="1">_xll.QCurves_GetDF($C$33,valDate,H31)</f>
        <v>0.58353953778685475</v>
      </c>
    </row>
    <row r="32" spans="2:11" x14ac:dyDescent="0.25">
      <c r="B32" t="s">
        <v>28</v>
      </c>
      <c r="C32" t="str">
        <f ca="1">_xll.QCurves_ExtractCurveFromModel(C31,"ZAR.JIBAR.3M","curve.ois.ZAR.JIBAR.3M")</f>
        <v>curve.ois.ZAR.JIBAR.3M¬0</v>
      </c>
      <c r="H32" s="2">
        <f t="shared" ca="1" si="0"/>
        <v>45911</v>
      </c>
      <c r="I32" s="1">
        <f ca="1">_xll.QCurves_GetDF($C$32,valDate,H32)</f>
        <v>0.55333619952978252</v>
      </c>
      <c r="J32" s="1">
        <f ca="1">_xll.QCurves_GetForwardRate($C$32,H32,H33,"Linear","Act365F")</f>
        <v>9.2503777726692216E-2</v>
      </c>
      <c r="K32" s="1">
        <f ca="1">_xll.QCurves_GetDF($C$33,valDate,H32)</f>
        <v>0.57074745213305456</v>
      </c>
    </row>
    <row r="33" spans="2:11" x14ac:dyDescent="0.25">
      <c r="B33" t="s">
        <v>28</v>
      </c>
      <c r="C33" t="str">
        <f ca="1">_xll.QCurves_ExtractCurveFromModel(C31,"ZAR.OIS.1B","curve.ois.ZAR.OIS.1B")</f>
        <v>curve.ois.ZAR.OIS.1B¬0</v>
      </c>
      <c r="H33" s="2">
        <f t="shared" ca="1" si="0"/>
        <v>46002</v>
      </c>
      <c r="I33" s="1">
        <f ca="1">_xll.QCurves_GetDF($C$32,valDate,H33)</f>
        <v>0.54086251151692866</v>
      </c>
      <c r="J33" s="1">
        <f ca="1">_xll.QCurves_GetForwardRate($C$32,H33,H34,"Linear","Act365F")</f>
        <v>9.2980021614007174E-2</v>
      </c>
      <c r="K33" s="1">
        <f ca="1">_xll.QCurves_GetDF($C$33,valDate,H33)</f>
        <v>0.55828880543211756</v>
      </c>
    </row>
    <row r="34" spans="2:11" x14ac:dyDescent="0.25">
      <c r="H34" s="2">
        <f t="shared" ca="1" si="0"/>
        <v>46092</v>
      </c>
      <c r="I34" s="1">
        <f ca="1">_xll.QCurves_GetDF($C$32,valDate,H34)</f>
        <v>0.52874030427642538</v>
      </c>
      <c r="J34" s="1">
        <f ca="1">_xll.QCurves_GetForwardRate($C$32,H34,H35,"Linear","Act365F")</f>
        <v>9.3494409144794455E-2</v>
      </c>
      <c r="K34" s="1">
        <f ca="1">_xll.QCurves_GetDF($C$33,valDate,H34)</f>
        <v>0.54615659222558233</v>
      </c>
    </row>
    <row r="35" spans="2:11" x14ac:dyDescent="0.25">
      <c r="H35" s="2">
        <f t="shared" ca="1" si="0"/>
        <v>46184</v>
      </c>
      <c r="I35" s="1">
        <f ca="1">_xll.QCurves_GetDF($C$32,valDate,H35)</f>
        <v>0.51656703326436171</v>
      </c>
      <c r="J35" s="1">
        <f ca="1">_xll.QCurves_GetForwardRate($C$32,H35,H36,"Linear","Act365F")</f>
        <v>9.3990740550498067E-2</v>
      </c>
      <c r="K35" s="1">
        <f ca="1">_xll.QCurves_GetDF($C$33,valDate,H35)</f>
        <v>0.5339488622715578</v>
      </c>
    </row>
    <row r="36" spans="2:11" x14ac:dyDescent="0.25">
      <c r="H36" s="2">
        <f t="shared" ca="1" si="0"/>
        <v>46276</v>
      </c>
      <c r="I36" s="1">
        <f ca="1">_xll.QCurves_GetDF($C$32,valDate,H36)</f>
        <v>0.50461235442259156</v>
      </c>
      <c r="J36" s="1">
        <f ca="1">_xll.QCurves_GetForwardRate($C$32,H36,H37,"Linear","Act365F")</f>
        <v>9.4472302459834262E-2</v>
      </c>
      <c r="K36" s="1">
        <f ca="1">_xll.QCurves_GetDF($C$33,valDate,H36)</f>
        <v>0.52193655432800024</v>
      </c>
    </row>
    <row r="37" spans="2:11" x14ac:dyDescent="0.25">
      <c r="H37" s="2">
        <f t="shared" ca="1" si="0"/>
        <v>46367</v>
      </c>
    </row>
    <row r="43" spans="2:11" x14ac:dyDescent="0.25">
      <c r="B43" t="str">
        <f ca="1">C31</f>
        <v>ModelOis¬0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8"/>
  <sheetViews>
    <sheetView workbookViewId="0">
      <selection activeCell="K32" sqref="A32:K32"/>
    </sheetView>
  </sheetViews>
  <sheetFormatPr defaultRowHeight="15" x14ac:dyDescent="0.25"/>
  <cols>
    <col min="3" max="3" width="17.7109375" customWidth="1"/>
    <col min="7" max="7" width="13.140625" customWidth="1"/>
    <col min="10" max="10" width="15.7109375" customWidth="1"/>
    <col min="15" max="15" width="9.85546875" bestFit="1" customWidth="1"/>
    <col min="18" max="18" width="9.85546875" bestFit="1" customWidth="1"/>
    <col min="21" max="21" width="10.7109375" bestFit="1" customWidth="1"/>
    <col min="22" max="22" width="11.42578125" customWidth="1"/>
    <col min="23" max="23" width="7.42578125" bestFit="1" customWidth="1"/>
  </cols>
  <sheetData>
    <row r="1" spans="2:25" x14ac:dyDescent="0.25">
      <c r="B1" t="s">
        <v>24</v>
      </c>
      <c r="C1" s="2">
        <f ca="1">TODAY()</f>
        <v>43354</v>
      </c>
    </row>
    <row r="2" spans="2:25" x14ac:dyDescent="0.25">
      <c r="B2" t="s">
        <v>25</v>
      </c>
      <c r="C2" t="str">
        <f>_xll.QIns_CreateRateIndex("ZAR.JIBAR.3M","ZAR","3M","Act365F","Act365F","3M","JHB","0b","MF")</f>
        <v>ZAR.JIBAR.3M¬0</v>
      </c>
      <c r="I2" t="s">
        <v>25</v>
      </c>
      <c r="J2" t="str">
        <f>_xll.QIns_CreateRateIndex("USD.LIBOR.3M","USD","3M","Act360","Act360","6M","NYC","2b","MF")</f>
        <v>USD.LIBOR.3M¬0</v>
      </c>
      <c r="V2" s="3"/>
    </row>
    <row r="3" spans="2:25" x14ac:dyDescent="0.25">
      <c r="B3" t="s">
        <v>31</v>
      </c>
      <c r="C3" t="str">
        <f>_xll.QIns_CreateRateIndex("ZAR.OIS.1B","ZAR","3M","Act365F","Act365F","3M","JHB","0b","MF")</f>
        <v>ZAR.OIS.1B¬0</v>
      </c>
      <c r="I3" t="s">
        <v>31</v>
      </c>
      <c r="J3" t="str">
        <f>_xll.QIns_CreateRateIndex("USD.OIS.1B","USD","3M","Act360","Act360","3M","NYC","0b","MF")</f>
        <v>USD.OIS.1B¬0</v>
      </c>
      <c r="V3" t="s">
        <v>36</v>
      </c>
      <c r="W3" t="s">
        <v>30</v>
      </c>
      <c r="X3" t="s">
        <v>37</v>
      </c>
      <c r="Y3" t="s">
        <v>52</v>
      </c>
    </row>
    <row r="4" spans="2:25" x14ac:dyDescent="0.25">
      <c r="U4" s="2">
        <f ca="1">valDate</f>
        <v>43354</v>
      </c>
      <c r="V4" s="1">
        <f ca="1">_xll.QCurves_GetDF($D$33,valDate,U4)</f>
        <v>1</v>
      </c>
      <c r="W4" s="1">
        <f ca="1">_xll.QCurves_GetForwardRate($D$33,U4,U5,"Linear","Act365F")</f>
        <v>7.0250000000000784E-2</v>
      </c>
      <c r="X4" s="1">
        <f ca="1">_xll.QCurves_GetDF($D$34,valDate,U4)</f>
        <v>1</v>
      </c>
      <c r="Y4" s="1">
        <f ca="1">_xll.QCurves_GetDF($D$35,valDate,U4)</f>
        <v>1</v>
      </c>
    </row>
    <row r="5" spans="2:25" x14ac:dyDescent="0.25">
      <c r="P5" t="s">
        <v>63</v>
      </c>
      <c r="Q5">
        <f>_xll.BDP("ZAR Curncy","PX_LAST")</f>
        <v>15.1022</v>
      </c>
      <c r="R5" s="2">
        <f ca="1">_xll.QDates_AddPeriod(valDate,"2b","F","JHB+NYC")</f>
        <v>43356</v>
      </c>
      <c r="U5" s="2">
        <f ca="1">EDATE(U4,3)</f>
        <v>43445</v>
      </c>
      <c r="V5" s="1">
        <f ca="1">_xll.QCurves_GetDF($D$33,valDate,U5)</f>
        <v>0.9827870899472323</v>
      </c>
      <c r="W5" s="1">
        <f ca="1">_xll.QCurves_GetForwardRate($D$33,U5,U6,"Linear","Act365F")</f>
        <v>7.2799999999999629E-2</v>
      </c>
      <c r="X5" s="1">
        <f ca="1">_xll.QCurves_GetDF($D$34,valDate,U5)</f>
        <v>0.98375125916792172</v>
      </c>
      <c r="Y5" s="1">
        <f ca="1">_xll.QCurves_GetDF($D$35,valDate,U5)</f>
        <v>0.99413414599013195</v>
      </c>
    </row>
    <row r="6" spans="2:25" x14ac:dyDescent="0.25">
      <c r="B6" t="s">
        <v>0</v>
      </c>
      <c r="C6" t="s">
        <v>1</v>
      </c>
      <c r="D6">
        <f>_xll.BDP(C6,"PX_LAST")</f>
        <v>7.0250000000000004</v>
      </c>
      <c r="E6" s="1">
        <f>D6/100</f>
        <v>7.0250000000000007E-2</v>
      </c>
      <c r="F6" t="str">
        <f ca="1">_xll.QIns_CreateFRA("ZAROISFra_"&amp;B6,valDate,"0x3",index,"ZAR",E6,1,"ZAR.JIBAR.3M","ZAR.OIS.1B",,,"ZAR.JIBAR.3M")</f>
        <v>ZAROISFra_3m¬0</v>
      </c>
      <c r="I6" t="s">
        <v>0</v>
      </c>
      <c r="J6" t="s">
        <v>38</v>
      </c>
      <c r="K6">
        <f>_xll.BDP(J6,"PX_LAST")</f>
        <v>2.3342499999999999</v>
      </c>
      <c r="L6" s="1">
        <f>K6/100</f>
        <v>2.3342499999999999E-2</v>
      </c>
      <c r="M6" t="str">
        <f ca="1">_xll.QIns_CreateFRA("USDOISFra_"&amp;I6,valDate,"0x3",J2,"USD",L6,1,"USD.LIBOR.3M","USD.OIS.1B",,,"USD.LIBOR.3M")</f>
        <v>USDOISFra_3m¬0</v>
      </c>
      <c r="O6" s="2">
        <f ca="1">_xll.QDates_AddPeriod($R$5,P6,"F","JHB+NYC")</f>
        <v>43363</v>
      </c>
      <c r="P6" t="s">
        <v>57</v>
      </c>
      <c r="Q6">
        <f>_xll.BDP("ZAR"&amp;P6&amp;" Curncy","PX_LAST")</f>
        <v>151</v>
      </c>
      <c r="R6" s="5">
        <f>$Q$5+Q6/10000</f>
        <v>15.1173</v>
      </c>
      <c r="S6" s="5" t="str">
        <f ca="1">_xll.QIns_CreateFxForward("ZARFwd_"&amp;P6,O6,"ZAR","USD",1000000,R6,"ZAR.DISC.[USD.OIS.1B]","ZAR.DISC.[USD.OIS.1B]")</f>
        <v>ZARFwd_1w¬0</v>
      </c>
      <c r="U6" s="2">
        <f t="shared" ref="U6:U37" ca="1" si="0">EDATE(U5,3)</f>
        <v>43535</v>
      </c>
      <c r="V6" s="1">
        <f ca="1">_xll.QCurves_GetDF($D$33,valDate,U6)</f>
        <v>0.96545648477397461</v>
      </c>
      <c r="W6" s="1">
        <f ca="1">_xll.QCurves_GetForwardRate($D$33,U6,U7,"Linear","Act365F")</f>
        <v>7.4699999999999475E-2</v>
      </c>
      <c r="X6" s="1">
        <f ca="1">_xll.QCurves_GetDF($D$34,valDate,U6)</f>
        <v>0.96734091682011292</v>
      </c>
      <c r="Y6" s="1">
        <f ca="1">_xll.QCurves_GetDF($D$35,valDate,U6)</f>
        <v>0.9876325221228397</v>
      </c>
    </row>
    <row r="7" spans="2:25" x14ac:dyDescent="0.25">
      <c r="B7" t="s">
        <v>2</v>
      </c>
      <c r="C7" t="s">
        <v>3</v>
      </c>
      <c r="D7">
        <f>_xll.BDP(C7,"PX_LAST")</f>
        <v>7.28</v>
      </c>
      <c r="E7" s="1">
        <f t="shared" ref="E7:E17" si="1">D7/100</f>
        <v>7.2800000000000004E-2</v>
      </c>
      <c r="F7" t="str">
        <f ca="1">_xll.QIns_CreateFRA("ZAROISFra_"&amp;B7,valDate,B7,index,"ZAR",E7,1,"ZAR.JIBAR.3M","ZAR.OIS.1B",,,"ZAR.JIBAR.3M")</f>
        <v>ZAROISFra_3x6¬0</v>
      </c>
      <c r="I7" t="s">
        <v>39</v>
      </c>
      <c r="J7" t="str">
        <f>I7&amp;" Comdty"</f>
        <v>EDU8 Comdty</v>
      </c>
      <c r="K7">
        <f>_xll.BDP(J7,"PX_LAST")</f>
        <v>97.647500000000008</v>
      </c>
      <c r="L7" s="4">
        <f>K7</f>
        <v>97.647500000000008</v>
      </c>
      <c r="M7" t="str">
        <f ca="1">_xll.QIns_CreateSTIRFromCode(I7,valDate,I7,$J$2,L7,1,0,"USD.LIBOR.3M","USD.LIBOR.3M")</f>
        <v>EDU8¬0</v>
      </c>
      <c r="O7" s="2">
        <f ca="1">_xll.QDates_AddPeriod($R$5,P7,"MF","JHB+NYC")</f>
        <v>43388</v>
      </c>
      <c r="P7" t="s">
        <v>58</v>
      </c>
      <c r="Q7">
        <f>_xll.BDP("ZAR"&amp;P7&amp;" Curncy","PX_LAST")</f>
        <v>667</v>
      </c>
      <c r="R7" s="5">
        <f t="shared" ref="R7:R18" si="2">$Q$5+Q7/10000</f>
        <v>15.168900000000001</v>
      </c>
      <c r="S7" s="5" t="str">
        <f ca="1">_xll.QIns_CreateFxForward("ZARFwd_"&amp;P7,O7,"ZAR","USD",1000000,R7,"ZAR.DISC.[USD.OIS.1B]","ZAR.DISC.[USD.OIS.1B]")</f>
        <v>ZARFwd_1m¬0</v>
      </c>
      <c r="U7" s="2">
        <f t="shared" ca="1" si="0"/>
        <v>43627</v>
      </c>
      <c r="V7" s="1">
        <f ca="1">_xll.QCurves_GetDF($D$33,valDate,U7)</f>
        <v>0.94761433476240975</v>
      </c>
      <c r="W7" s="1">
        <f ca="1">_xll.QCurves_GetForwardRate($D$33,U7,U8,"Linear","Act365F")</f>
        <v>7.7500000000000249E-2</v>
      </c>
      <c r="X7" s="1">
        <f ca="1">_xll.QCurves_GetDF($D$34,valDate,U7)</f>
        <v>0.9504044491514535</v>
      </c>
      <c r="Y7" s="1">
        <f ca="1">_xll.QCurves_GetDF($D$35,valDate,U7)</f>
        <v>0.98057323743836877</v>
      </c>
    </row>
    <row r="8" spans="2:25" x14ac:dyDescent="0.25">
      <c r="B8" t="s">
        <v>4</v>
      </c>
      <c r="C8" t="s">
        <v>5</v>
      </c>
      <c r="D8">
        <f>_xll.BDP(C8,"PX_LAST")</f>
        <v>7.47</v>
      </c>
      <c r="E8" s="1">
        <f t="shared" si="1"/>
        <v>7.4700000000000003E-2</v>
      </c>
      <c r="F8" t="str">
        <f ca="1">_xll.QIns_CreateFRA("ZAROISFra_"&amp;B8,valDate,B8,index,"ZAR",E8,1,"ZAR.JIBAR.3M","ZAR.OIS.1B",,,"ZAR.JIBAR.3M")</f>
        <v>ZAROISFra_6x9¬0</v>
      </c>
      <c r="I8" t="s">
        <v>40</v>
      </c>
      <c r="J8" t="str">
        <f t="shared" ref="J8:J11" si="3">I8&amp;" Comdty"</f>
        <v>EDZ8 Comdty</v>
      </c>
      <c r="K8">
        <f>_xll.BDP(J8,"PX_LAST")</f>
        <v>97.335000000000008</v>
      </c>
      <c r="L8" s="4">
        <f t="shared" ref="L8:L11" si="4">K8</f>
        <v>97.335000000000008</v>
      </c>
      <c r="M8" t="str">
        <f ca="1">_xll.QIns_CreateSTIRFromCode(I8,valDate,I8,$J$2,L8,1,0,"USD.LIBOR.3M","USD.LIBOR.3M")</f>
        <v>EDZ8¬0</v>
      </c>
      <c r="O8" s="2">
        <f ca="1">_xll.QDates_AddPeriod($R$5,P8,"MF","JHB+NYC")</f>
        <v>43417</v>
      </c>
      <c r="P8" t="s">
        <v>59</v>
      </c>
      <c r="Q8">
        <f>_xll.BDP("ZAR"&amp;P8&amp;" Curncy","PX_LAST")</f>
        <v>1276</v>
      </c>
      <c r="R8" s="5">
        <f t="shared" si="2"/>
        <v>15.229799999999999</v>
      </c>
      <c r="S8" s="5" t="str">
        <f ca="1">_xll.QIns_CreateFxForward("ZARFwd_"&amp;P8,O8,"ZAR","USD",1000000,R8,"ZAR.DISC.[USD.OIS.1B]","ZAR.DISC.[USD.OIS.1B]")</f>
        <v>ZARFwd_2m¬0</v>
      </c>
      <c r="U8" s="2">
        <f t="shared" ca="1" si="0"/>
        <v>43719</v>
      </c>
      <c r="V8" s="1">
        <f ca="1">_xll.QCurves_GetDF($D$33,valDate,U8)</f>
        <v>0.92945807161013494</v>
      </c>
      <c r="W8" s="1">
        <f ca="1">_xll.QCurves_GetForwardRate($D$33,U8,U9,"Linear","Act365F")</f>
        <v>7.8500000000000139E-2</v>
      </c>
      <c r="X8" s="1">
        <f ca="1">_xll.QCurves_GetDF($D$34,valDate,U8)</f>
        <v>0.93311748898564284</v>
      </c>
      <c r="Y8" s="1">
        <f ca="1">_xll.QCurves_GetDF($D$35,valDate,U8)</f>
        <v>0.97324658326694446</v>
      </c>
    </row>
    <row r="9" spans="2:25" x14ac:dyDescent="0.25">
      <c r="B9" t="s">
        <v>6</v>
      </c>
      <c r="C9" t="s">
        <v>7</v>
      </c>
      <c r="D9">
        <f>_xll.BDP(C9,"PX_LAST")</f>
        <v>7.75</v>
      </c>
      <c r="E9" s="1">
        <f t="shared" si="1"/>
        <v>7.7499999999999999E-2</v>
      </c>
      <c r="F9" t="str">
        <f ca="1">_xll.QIns_CreateFRA("ZAROISFra_"&amp;B9,valDate,B9,index,"ZAR",E9,1,"ZAR.JIBAR.3M","ZAR.OIS.1B",,,"ZAR.JIBAR.3M")</f>
        <v>ZAROISFra_9x12¬0</v>
      </c>
      <c r="I9" t="s">
        <v>42</v>
      </c>
      <c r="J9" t="str">
        <f t="shared" si="3"/>
        <v>EDH9 Comdty</v>
      </c>
      <c r="K9">
        <f>_xll.BDP(J9,"PX_LAST")</f>
        <v>97.17</v>
      </c>
      <c r="L9" s="4">
        <f t="shared" si="4"/>
        <v>97.17</v>
      </c>
      <c r="M9" t="str">
        <f ca="1">_xll.QIns_CreateSTIRFromCode(I9,valDate,I9,$J$2,L9,1,0,"USD.LIBOR.3M","USD.LIBOR.3M")</f>
        <v>EDH9¬0</v>
      </c>
      <c r="O9" s="2">
        <f ca="1">_xll.QDates_AddPeriod($R$5,P9,"MF","JHB+NYC")</f>
        <v>43447</v>
      </c>
      <c r="P9" t="s">
        <v>0</v>
      </c>
      <c r="Q9">
        <f>_xll.BDP("ZAR"&amp;P9&amp;" Curncy","PX_LAST")</f>
        <v>1902</v>
      </c>
      <c r="R9" s="5">
        <f t="shared" si="2"/>
        <v>15.292400000000001</v>
      </c>
      <c r="S9" s="5" t="str">
        <f ca="1">_xll.QIns_CreateFxForward("ZARFwd_"&amp;P9,O9,"ZAR","USD",1000000,R9,"ZAR.DISC.[USD.OIS.1B]","ZAR.DISC.[USD.OIS.1B]")</f>
        <v>ZARFwd_3m¬0</v>
      </c>
      <c r="U9" s="2">
        <f t="shared" ca="1" si="0"/>
        <v>43810</v>
      </c>
      <c r="V9" s="1">
        <f ca="1">_xll.QCurves_GetDF($D$33,valDate,U9)</f>
        <v>0.91161661062923127</v>
      </c>
      <c r="W9" s="1">
        <f ca="1">_xll.QCurves_GetForwardRate($D$33,U9,U10,"Linear","Act365F")</f>
        <v>7.9799999999999524E-2</v>
      </c>
      <c r="X9" s="1">
        <f ca="1">_xll.QCurves_GetDF($D$34,valDate,U9)</f>
        <v>0.91615444467808482</v>
      </c>
      <c r="Y9" s="1">
        <f ca="1">_xll.QCurves_GetDF($D$35,valDate,U9)</f>
        <v>0.96587094753467573</v>
      </c>
    </row>
    <row r="10" spans="2:25" x14ac:dyDescent="0.25">
      <c r="B10" t="s">
        <v>8</v>
      </c>
      <c r="C10" t="s">
        <v>9</v>
      </c>
      <c r="D10">
        <f>_xll.BDP(C10,"PX_LAST")</f>
        <v>7.85</v>
      </c>
      <c r="E10" s="1">
        <f t="shared" si="1"/>
        <v>7.85E-2</v>
      </c>
      <c r="F10" t="str">
        <f ca="1">_xll.QIns_CreateFRA("ZAROISFra_"&amp;B10,valDate,B10,index,"ZAR",E10,1,"ZAR.JIBAR.3M","ZAR.OIS.1B",,,"ZAR.JIBAR.3M")</f>
        <v>ZAROISFra_12x15¬0</v>
      </c>
      <c r="I10" t="s">
        <v>41</v>
      </c>
      <c r="J10" t="str">
        <f t="shared" si="3"/>
        <v>EDM9 Comdty</v>
      </c>
      <c r="K10">
        <f>_xll.BDP(J10,"PX_LAST")</f>
        <v>97.045000000000002</v>
      </c>
      <c r="L10" s="4">
        <f t="shared" si="4"/>
        <v>97.045000000000002</v>
      </c>
      <c r="M10" t="str">
        <f ca="1">_xll.QIns_CreateSTIRFromCode(I10,valDate,I10,$J$2,L10,1,0,"USD.LIBOR.3M","USD.LIBOR.3M")</f>
        <v>EDM9¬0</v>
      </c>
      <c r="O10" s="2">
        <f ca="1">_xll.QDates_AddPeriod($R$5,P10,"MF","JHB+NYC")</f>
        <v>43537</v>
      </c>
      <c r="P10" t="s">
        <v>32</v>
      </c>
      <c r="Q10">
        <f>_xll.BDP("ZAR"&amp;P10&amp;" Curncy","PX_LAST")</f>
        <v>3731</v>
      </c>
      <c r="R10" s="5">
        <f t="shared" si="2"/>
        <v>15.475300000000001</v>
      </c>
      <c r="S10" s="5" t="str">
        <f ca="1">_xll.QIns_CreateFxForward("ZARFwd_"&amp;P10,O10,"ZAR","USD",1000000,R10,"ZAR.DISC.[USD.OIS.1B]","ZAR.DISC.[USD.OIS.1B]")</f>
        <v>ZARFwd_6m¬0</v>
      </c>
      <c r="U10" s="2">
        <f t="shared" ca="1" si="0"/>
        <v>43901</v>
      </c>
      <c r="V10" s="1">
        <f ca="1">_xll.QCurves_GetDF($D$33,valDate,U10)</f>
        <v>0.89383348729219447</v>
      </c>
      <c r="W10" s="1">
        <f ca="1">_xll.QCurves_GetForwardRate($D$33,U10,U11,"Linear","Act365F")</f>
        <v>7.9842637216428577E-2</v>
      </c>
      <c r="X10" s="1">
        <f ca="1">_xll.QCurves_GetDF($D$34,valDate,U10)</f>
        <v>0.89910941775419073</v>
      </c>
      <c r="Y10" s="1">
        <f ca="1">_xll.QCurves_GetDF($D$35,valDate,U10)</f>
        <v>0.95838321150920625</v>
      </c>
    </row>
    <row r="11" spans="2:25" x14ac:dyDescent="0.25">
      <c r="B11" t="s">
        <v>10</v>
      </c>
      <c r="C11" t="s">
        <v>11</v>
      </c>
      <c r="D11">
        <f>_xll.BDP(C11,"PX_LAST")</f>
        <v>7.98</v>
      </c>
      <c r="E11" s="1">
        <f t="shared" si="1"/>
        <v>7.980000000000001E-2</v>
      </c>
      <c r="F11" t="str">
        <f ca="1">_xll.QIns_CreateFRA("ZAROISFra_"&amp;B11,valDate,B11,index,"ZAR",E11,1,"ZAR.JIBAR.3M","ZAR.OIS.1B",,,"ZAR.JIBAR.3M")</f>
        <v>ZAROISFra_15x18¬0</v>
      </c>
      <c r="I11" t="s">
        <v>43</v>
      </c>
      <c r="J11" t="str">
        <f t="shared" si="3"/>
        <v>EDU9 Comdty</v>
      </c>
      <c r="K11">
        <f>_xll.BDP(J11,"PX_LAST")</f>
        <v>96.975000000000009</v>
      </c>
      <c r="L11" s="4">
        <f t="shared" si="4"/>
        <v>96.975000000000009</v>
      </c>
      <c r="M11" t="str">
        <f ca="1">_xll.QIns_CreateSTIRFromCode(I11,valDate,I11,$J$2,L11,1,0,"USD.LIBOR.3M","USD.LIBOR.3M")</f>
        <v>EDU9¬0</v>
      </c>
      <c r="O11" s="2">
        <f ca="1">_xll.QDates_AddPeriod($R$5,P11,"MF","JHB+NYC")</f>
        <v>43629</v>
      </c>
      <c r="P11" t="s">
        <v>33</v>
      </c>
      <c r="Q11">
        <f>_xll.BDP("ZAR"&amp;P11&amp;" Curncy","PX_LAST")</f>
        <v>5578</v>
      </c>
      <c r="R11" s="5">
        <f t="shared" si="2"/>
        <v>15.66</v>
      </c>
      <c r="S11" s="5" t="str">
        <f ca="1">_xll.QIns_CreateFxForward("ZARFwd_"&amp;P11,O11,"ZAR","USD",1000000,R11,"ZAR.DISC.[USD.OIS.1B]","ZAR.DISC.[USD.OIS.1B]")</f>
        <v>ZARFwd_9m¬0</v>
      </c>
      <c r="U11" s="2">
        <f t="shared" ca="1" si="0"/>
        <v>43993</v>
      </c>
      <c r="V11" s="1">
        <f ca="1">_xll.QCurves_GetDF($D$33,valDate,U11)</f>
        <v>0.87620020394653664</v>
      </c>
      <c r="W11" s="1">
        <f ca="1">_xll.QCurves_GetForwardRate($D$33,U11,U12,"Linear","Act365F")</f>
        <v>8.1064096357870888E-2</v>
      </c>
      <c r="X11" s="1">
        <f ca="1">_xll.QCurves_GetDF($D$34,valDate,U11)</f>
        <v>0.88224399825491229</v>
      </c>
      <c r="Y11" s="1">
        <f ca="1">_xll.QCurves_GetDF($D$35,valDate,U11)</f>
        <v>0.9506107620164328</v>
      </c>
    </row>
    <row r="12" spans="2:25" x14ac:dyDescent="0.25">
      <c r="B12" t="s">
        <v>12</v>
      </c>
      <c r="C12" t="s">
        <v>18</v>
      </c>
      <c r="D12">
        <f>_xll.BDP(C12,"PX_LAST")</f>
        <v>7.6675000000000004</v>
      </c>
      <c r="E12" s="1">
        <f t="shared" si="1"/>
        <v>7.6675000000000007E-2</v>
      </c>
      <c r="F12" t="str">
        <f ca="1">_xll.QIns_CreateIRS("ZAROISSwap_"&amp;B12,valDate,B12,index,E12,1,"ZAR.JIBAR.3M","ZAR.OIS.1B","Pay","ZAR.JIBAR.3M")</f>
        <v>ZAROISSwap_2y¬0</v>
      </c>
      <c r="I12" t="s">
        <v>12</v>
      </c>
      <c r="J12" t="s">
        <v>44</v>
      </c>
      <c r="K12">
        <f>_xll.BDP(J12,"PX_LAST")</f>
        <v>2.9161000000000001</v>
      </c>
      <c r="L12" s="1">
        <f t="shared" ref="L12:L17" si="5">K12/100</f>
        <v>2.9161000000000003E-2</v>
      </c>
      <c r="M12" t="str">
        <f ca="1">_xll.QIns_CreateIRS("USDOISSwap_"&amp;I12,valDate,I12,$J$2,L12,1,"USD.LIBOR.3M","USD.OIS.1B","Pay","USD.LIBOR.3M")</f>
        <v>USDOISSwap_2y¬0</v>
      </c>
      <c r="O12" s="2">
        <f ca="1">_xll.QDates_AddPeriod($R$5,P12,"MF","JHB+NYC")</f>
        <v>43721</v>
      </c>
      <c r="P12" t="s">
        <v>61</v>
      </c>
      <c r="Q12">
        <f>_xll.BDP("ZAR"&amp;P12&amp;" Curncy","PX_LAST")</f>
        <v>7477</v>
      </c>
      <c r="R12" s="5">
        <f t="shared" si="2"/>
        <v>15.8499</v>
      </c>
      <c r="S12" s="5" t="str">
        <f ca="1">_xll.QIns_CreateFxForward("ZARFwd_"&amp;P12,O12,"ZAR","USD",1000000,R12,"ZAR.DISC.[USD.OIS.1B]","ZAR.DISC.[USD.OIS.1B]")</f>
        <v>ZARFwd_12m¬0</v>
      </c>
      <c r="U12" s="2">
        <f t="shared" ca="1" si="0"/>
        <v>44085</v>
      </c>
      <c r="V12" s="1">
        <f ca="1">_xll.QCurves_GetDF($D$33,valDate,U12)</f>
        <v>0.85865564170456976</v>
      </c>
      <c r="W12" s="1">
        <f ca="1">_xll.QCurves_GetForwardRate($D$33,U12,U13,"Linear","Act365F")</f>
        <v>8.1950906918311028E-2</v>
      </c>
      <c r="X12" s="1">
        <f ca="1">_xll.QCurves_GetDF($D$34,valDate,U12)</f>
        <v>0.86543349533498681</v>
      </c>
      <c r="Y12" s="1">
        <f ca="1">_xll.QCurves_GetDF($D$35,valDate,U12)</f>
        <v>0.94263159534347363</v>
      </c>
    </row>
    <row r="13" spans="2:25" x14ac:dyDescent="0.25">
      <c r="B13" t="s">
        <v>13</v>
      </c>
      <c r="C13" t="s">
        <v>19</v>
      </c>
      <c r="D13">
        <f>_xll.BDP(C13,"PX_LAST")</f>
        <v>7.8849999999999998</v>
      </c>
      <c r="E13" s="1">
        <f t="shared" si="1"/>
        <v>7.8850000000000003E-2</v>
      </c>
      <c r="F13" t="str">
        <f ca="1">_xll.QIns_CreateIRS("ZAROISSwap_"&amp;B13,valDate,B13,index,E13,1,"ZAR.JIBAR.3M","ZAR.OIS.1B","Pay","ZAR.JIBAR.3M")</f>
        <v>ZAROISSwap_3y¬0</v>
      </c>
      <c r="I13" t="s">
        <v>13</v>
      </c>
      <c r="J13" t="s">
        <v>45</v>
      </c>
      <c r="K13">
        <f>_xll.BDP(J13,"PX_LAST")</f>
        <v>2.9643999999999999</v>
      </c>
      <c r="L13" s="1">
        <f t="shared" si="5"/>
        <v>2.9644E-2</v>
      </c>
      <c r="M13" t="str">
        <f ca="1">_xll.QIns_CreateIRS("USDOISSwap_"&amp;I13,valDate,I13,$J$2,L13,1,"USD.LIBOR.3M","USD.OIS.1B","Pay","USD.LIBOR.3M")</f>
        <v>USDOISSwap_3y¬0</v>
      </c>
      <c r="O13" s="2">
        <f ca="1">_xll.QDates_AddPeriod($R$5,P13,"MF","JHB+NYC")</f>
        <v>43812</v>
      </c>
      <c r="P13" t="s">
        <v>60</v>
      </c>
      <c r="Q13">
        <f>_xll.BDP("ZAR"&amp;P13&amp;" Curncy","PX_LAST")</f>
        <v>9535</v>
      </c>
      <c r="R13" s="5">
        <f t="shared" si="2"/>
        <v>16.055700000000002</v>
      </c>
      <c r="S13" s="5" t="str">
        <f ca="1">_xll.QIns_CreateFxForward("ZARFwd_"&amp;P13,O13,"ZAR","USD",1000000,R13,"ZAR.DISC.[USD.OIS.1B]","ZAR.DISC.[USD.OIS.1B]")</f>
        <v>ZARFwd_15m¬0</v>
      </c>
      <c r="U13" s="2">
        <f t="shared" ca="1" si="0"/>
        <v>44176</v>
      </c>
      <c r="V13" s="1">
        <f ca="1">_xll.QCurves_GetDF($D$33,valDate,U13)</f>
        <v>0.84146320546568354</v>
      </c>
      <c r="W13" s="1">
        <f ca="1">_xll.QCurves_GetForwardRate($D$33,U13,U14,"Linear","Act365F")</f>
        <v>8.3073121110234779E-2</v>
      </c>
      <c r="X13" s="1">
        <f ca="1">_xll.QCurves_GetDF($D$34,valDate,U13)</f>
        <v>0.84911974800451728</v>
      </c>
      <c r="Y13" s="1">
        <f ca="1">_xll.QCurves_GetDF($D$35,valDate,U13)</f>
        <v>0.93547314411445481</v>
      </c>
    </row>
    <row r="14" spans="2:25" x14ac:dyDescent="0.25">
      <c r="B14" t="s">
        <v>14</v>
      </c>
      <c r="C14" t="s">
        <v>20</v>
      </c>
      <c r="D14">
        <f>_xll.BDP(C14,"PX_LAST")</f>
        <v>8.0374999999999996</v>
      </c>
      <c r="E14" s="1">
        <f t="shared" si="1"/>
        <v>8.0375000000000002E-2</v>
      </c>
      <c r="F14" t="str">
        <f ca="1">_xll.QIns_CreateIRS("ZAROISSwap_"&amp;B14,valDate,B14,index,E14,1,"ZAR.JIBAR.3M","ZAR.OIS.1B","Pay","ZAR.JIBAR.3M")</f>
        <v>ZAROISSwap_4y¬0</v>
      </c>
      <c r="I14" t="s">
        <v>14</v>
      </c>
      <c r="J14" t="s">
        <v>48</v>
      </c>
      <c r="K14">
        <f>_xll.BDP(J14,"PX_LAST")</f>
        <v>2.9748999999999999</v>
      </c>
      <c r="L14" s="1">
        <f t="shared" si="5"/>
        <v>2.9748999999999998E-2</v>
      </c>
      <c r="M14" t="str">
        <f ca="1">_xll.QIns_CreateIRS("USDOISSwap_"&amp;I14,valDate,I14,$J$2,L14,1,"USD.LIBOR.3M","USD.OIS.1B","Pay","USD.LIBOR.3M")</f>
        <v>USDOISSwap_4y¬0</v>
      </c>
      <c r="O14" s="2">
        <f ca="1">_xll.QDates_AddPeriod($R$5,P14,"MF","JHB+NYC")</f>
        <v>43903</v>
      </c>
      <c r="P14" t="s">
        <v>35</v>
      </c>
      <c r="Q14">
        <f>_xll.BDP("ZAR"&amp;P14&amp;" Curncy","PX_LAST")</f>
        <v>11493</v>
      </c>
      <c r="R14" s="5">
        <f t="shared" si="2"/>
        <v>16.2515</v>
      </c>
      <c r="S14" s="5" t="str">
        <f ca="1">_xll.QIns_CreateFxForward("ZARFwd_"&amp;P14,O14,"ZAR","USD",1000000,R14,"ZAR.DISC.[USD.OIS.1B]","ZAR.DISC.[USD.OIS.1B]")</f>
        <v>ZARFwd_18m¬0</v>
      </c>
      <c r="U14" s="2">
        <f t="shared" ca="1" si="0"/>
        <v>44266</v>
      </c>
      <c r="V14" s="1">
        <f ca="1">_xll.QCurves_GetDF($D$33,valDate,U14)</f>
        <v>0.82457283422470196</v>
      </c>
      <c r="W14" s="1">
        <f ca="1">_xll.QCurves_GetForwardRate($D$33,U14,U15,"Linear","Act365F")</f>
        <v>8.4230333626428192E-2</v>
      </c>
      <c r="X14" s="1">
        <f ca="1">_xll.QCurves_GetDF($D$34,valDate,U14)</f>
        <v>0.83309926423548697</v>
      </c>
      <c r="Y14" s="1">
        <f ca="1">_xll.QCurves_GetDF($D$35,valDate,U14)</f>
        <v>0.92839255403723897</v>
      </c>
    </row>
    <row r="15" spans="2:25" x14ac:dyDescent="0.25">
      <c r="B15" t="s">
        <v>15</v>
      </c>
      <c r="C15" t="s">
        <v>21</v>
      </c>
      <c r="D15">
        <f>_xll.BDP(C15,"PX_LAST")</f>
        <v>8.1850000000000005</v>
      </c>
      <c r="E15" s="1">
        <f t="shared" si="1"/>
        <v>8.1850000000000006E-2</v>
      </c>
      <c r="F15" t="str">
        <f ca="1">_xll.QIns_CreateIRS("ZAROISSwap_"&amp;B15,valDate,B15,index,E15,1,"ZAR.JIBAR.3M","ZAR.OIS.1B","Pay","ZAR.JIBAR.3M")</f>
        <v>ZAROISSwap_5y¬0</v>
      </c>
      <c r="I15" t="s">
        <v>15</v>
      </c>
      <c r="J15" t="s">
        <v>46</v>
      </c>
      <c r="K15">
        <f>_xll.BDP(J15,"PX_LAST")</f>
        <v>2.9759000000000002</v>
      </c>
      <c r="L15" s="1">
        <f t="shared" si="5"/>
        <v>2.9759000000000001E-2</v>
      </c>
      <c r="M15" t="str">
        <f ca="1">_xll.QIns_CreateIRS("USDOISSwap_"&amp;I15,valDate,I15,$J$2,L15,1,"USD.LIBOR.3M","USD.OIS.1B","Pay","USD.LIBOR.3M")</f>
        <v>USDOISSwap_5y¬0</v>
      </c>
      <c r="O15" s="2">
        <f ca="1">_xll.QDates_AddPeriod($R$5,P15,"MF","JHB+NYC")</f>
        <v>44088</v>
      </c>
      <c r="P15" t="s">
        <v>12</v>
      </c>
      <c r="Q15">
        <f>_xll.BDP("ZAR"&amp;P15&amp;" Curncy","PX_LAST")</f>
        <v>15920</v>
      </c>
      <c r="R15" s="5">
        <f t="shared" si="2"/>
        <v>16.694199999999999</v>
      </c>
      <c r="S15" s="5" t="str">
        <f ca="1">_xll.QIns_CreateFxForward("ZARFwd_"&amp;P15,O15,"ZAR","USD",1000000,R15,"ZAR.DISC.[USD.OIS.1B]","ZAR.DISC.[USD.OIS.1B]")</f>
        <v>ZARFwd_2y¬0</v>
      </c>
      <c r="U15" s="2">
        <f t="shared" ca="1" si="0"/>
        <v>44358</v>
      </c>
      <c r="V15" s="1">
        <f ca="1">_xll.QCurves_GetDF($D$33,valDate,U15)</f>
        <v>0.80743055117559626</v>
      </c>
      <c r="W15" s="1">
        <f ca="1">_xll.QCurves_GetForwardRate($D$33,U15,U16,"Linear","Act365F")</f>
        <v>8.5381599349537929E-2</v>
      </c>
      <c r="X15" s="1">
        <f ca="1">_xll.QCurves_GetDF($D$34,valDate,U15)</f>
        <v>0.8168451639322053</v>
      </c>
      <c r="Y15" s="1">
        <f ca="1">_xll.QCurves_GetDF($D$35,valDate,U15)</f>
        <v>0.92115465534331853</v>
      </c>
    </row>
    <row r="16" spans="2:25" x14ac:dyDescent="0.25">
      <c r="B16" t="s">
        <v>16</v>
      </c>
      <c r="C16" t="s">
        <v>22</v>
      </c>
      <c r="D16">
        <f>_xll.BDP(C16,"PX_LAST")</f>
        <v>8.4320000000000004</v>
      </c>
      <c r="E16" s="1">
        <f t="shared" si="1"/>
        <v>8.4320000000000006E-2</v>
      </c>
      <c r="F16" t="str">
        <f ca="1">_xll.QIns_CreateIRS("ZAROISSwap_"&amp;B16,valDate,B16,index,E16,1,"ZAR.JIBAR.3M","ZAR.OIS.1B","Pay","ZAR.JIBAR.3M")</f>
        <v>ZAROISSwap_7y¬0</v>
      </c>
      <c r="I16" t="s">
        <v>16</v>
      </c>
      <c r="J16" t="s">
        <v>49</v>
      </c>
      <c r="K16">
        <f>_xll.BDP(J16,"PX_LAST")</f>
        <v>2.9853999999999998</v>
      </c>
      <c r="L16" s="1">
        <f t="shared" si="5"/>
        <v>2.9853999999999999E-2</v>
      </c>
      <c r="M16" t="str">
        <f ca="1">_xll.QIns_CreateIRS("USDOISSwap_"&amp;I16,valDate,I16,$J$2,L16,1,"USD.LIBOR.3M","USD.OIS.1B","Pay","USD.LIBOR.3M")</f>
        <v>USDOISSwap_7y¬0</v>
      </c>
      <c r="O16" s="2">
        <f ca="1">_xll.QDates_AddPeriod($R$5,P16,"MF","JHB+NYC")</f>
        <v>44452</v>
      </c>
      <c r="P16" t="s">
        <v>13</v>
      </c>
      <c r="Q16">
        <f>_xll.BDP("ZAR"&amp;P16&amp;" Curncy","PX_LAST")</f>
        <v>25645</v>
      </c>
      <c r="R16" s="5">
        <f t="shared" si="2"/>
        <v>17.666699999999999</v>
      </c>
      <c r="S16" s="5" t="str">
        <f ca="1">_xll.QIns_CreateFxForward("ZARFwd_"&amp;P16,O16,"ZAR","USD",1000000,R16,"ZAR.DISC.[USD.OIS.1B]","ZAR.DISC.[USD.OIS.1B]")</f>
        <v>ZARFwd_3y¬0</v>
      </c>
      <c r="U16" s="2">
        <f t="shared" ca="1" si="0"/>
        <v>44450</v>
      </c>
      <c r="V16" s="1">
        <f ca="1">_xll.QCurves_GetDF($D$33,valDate,U16)</f>
        <v>0.7904200466491379</v>
      </c>
      <c r="W16" s="1">
        <f ca="1">_xll.QCurves_GetForwardRate($D$33,U16,U17,"Linear","Act365F")</f>
        <v>8.4557755057582923E-2</v>
      </c>
      <c r="X16" s="1">
        <f ca="1">_xll.QCurves_GetDF($D$34,valDate,U16)</f>
        <v>0.8007199181669622</v>
      </c>
      <c r="Y16" s="1">
        <f ca="1">_xll.QCurves_GetDF($D$35,valDate,U16)</f>
        <v>0.91391766418381992</v>
      </c>
    </row>
    <row r="17" spans="2:25" x14ac:dyDescent="0.25">
      <c r="B17" t="s">
        <v>17</v>
      </c>
      <c r="C17" t="s">
        <v>23</v>
      </c>
      <c r="D17">
        <f>_xll.BDP(C17,"PX_LAST")</f>
        <v>8.6649999999999991</v>
      </c>
      <c r="E17" s="1">
        <f t="shared" si="1"/>
        <v>8.6649999999999991E-2</v>
      </c>
      <c r="F17" t="str">
        <f ca="1">_xll.QIns_CreateIRS("ZAROISSwap_"&amp;B17,valDate,B17,index,E17,1,"ZAR.JIBAR.3M","ZAR.OIS.1B","Pay","ZAR.JIBAR.3M")</f>
        <v>ZAROISSwap_10y¬0</v>
      </c>
      <c r="I17" t="s">
        <v>17</v>
      </c>
      <c r="J17" t="s">
        <v>47</v>
      </c>
      <c r="K17">
        <f>_xll.BDP(J17,"PX_LAST")</f>
        <v>3.0169999999999999</v>
      </c>
      <c r="L17" s="1">
        <f t="shared" si="5"/>
        <v>3.0169999999999999E-2</v>
      </c>
      <c r="M17" t="str">
        <f ca="1">_xll.QIns_CreateIRS("USDOISSwap_"&amp;I17,valDate,I17,$J$2,L17,1,"USD.LIBOR.3M","USD.OIS.1B","Pay","USD.LIBOR.3M")</f>
        <v>USDOISSwap_10y¬0</v>
      </c>
      <c r="O17" s="2">
        <f ca="1">_xll.QDates_AddPeriod($R$5,P17,"MF","JHB+NYC")</f>
        <v>44817</v>
      </c>
      <c r="P17" t="s">
        <v>14</v>
      </c>
      <c r="Q17">
        <f>_xll.BDP("ZAR"&amp;P17&amp;" Curncy","PX_LAST")</f>
        <v>36643</v>
      </c>
      <c r="R17" s="5">
        <f t="shared" si="2"/>
        <v>18.766500000000001</v>
      </c>
      <c r="S17" s="5" t="str">
        <f ca="1">_xll.QIns_CreateFxForward("ZARFwd_"&amp;P17,O17,"ZAR","USD",1000000,R17,"ZAR.DISC.[USD.OIS.1B]","ZAR.DISC.[USD.OIS.1B]")</f>
        <v>ZARFwd_4y¬0</v>
      </c>
      <c r="U17" s="2">
        <f t="shared" ca="1" si="0"/>
        <v>44541</v>
      </c>
      <c r="V17" s="1">
        <f ca="1">_xll.QCurves_GetDF($D$33,valDate,U17)</f>
        <v>0.7741008227420263</v>
      </c>
      <c r="W17" s="1">
        <f ca="1">_xll.QCurves_GetForwardRate($D$33,U17,U18,"Linear","Act365F")</f>
        <v>8.5334097121602906E-2</v>
      </c>
      <c r="X17" s="1">
        <f ca="1">_xll.QCurves_GetDF($D$34,valDate,U17)</f>
        <v>0.78490157286767481</v>
      </c>
      <c r="Y17" s="1">
        <f ca="1">_xll.QCurves_GetDF($D$35,valDate,U17)</f>
        <v>0.90703192008093436</v>
      </c>
    </row>
    <row r="18" spans="2:25" x14ac:dyDescent="0.25">
      <c r="B18" t="s">
        <v>0</v>
      </c>
      <c r="E18" s="3">
        <v>4.0000000000000001E-3</v>
      </c>
      <c r="F18" t="str">
        <f ca="1">_xll.QIns_CreateIRBasisSwap("ZAROISBasis_"&amp;B18,valDate,B18,oisIndex,index,E18,TRUE,1,"ZAR.OIS.1B","ZAR.JIBAR.3M","ZAR.OIS.1B","ZAR.OIS.1B")</f>
        <v>ZAROISBasis_3m¬0</v>
      </c>
      <c r="I18" t="s">
        <v>0</v>
      </c>
      <c r="L18" s="3">
        <v>4.0000000000000001E-3</v>
      </c>
      <c r="M18" t="str">
        <f ca="1">_xll.QIns_CreateIRBasisSwap("USDOISBasis_"&amp;I18,valDate,I18,$J$3,$J$2,L18,TRUE,1,"USD.OIS.1B","USD.LIBOR.3M","USD.OIS.1B","USD.OIS.1B")</f>
        <v>USDOISBasis_3m¬0</v>
      </c>
      <c r="O18" s="2">
        <f ca="1">_xll.QDates_AddPeriod($R$5,P18,"MF","JHB+NYC")</f>
        <v>45182</v>
      </c>
      <c r="P18" t="s">
        <v>15</v>
      </c>
      <c r="Q18">
        <f>_xll.BDP("ZAR"&amp;P18&amp;" Curncy","PX_LAST")</f>
        <v>48809</v>
      </c>
      <c r="R18" s="5">
        <f t="shared" si="2"/>
        <v>19.9831</v>
      </c>
      <c r="S18" s="5" t="str">
        <f ca="1">_xll.QIns_CreateFxForward("ZARFwd_"&amp;P18,O18,"ZAR","USD",1000000,R18,"ZAR.DISC.[USD.OIS.1B]","ZAR.DISC.[USD.OIS.1B]")</f>
        <v>ZARFwd_5y¬0</v>
      </c>
      <c r="U18" s="2">
        <f t="shared" ca="1" si="0"/>
        <v>44631</v>
      </c>
      <c r="V18" s="1">
        <f ca="1">_xll.QCurves_GetDF($D$33,valDate,U18)</f>
        <v>0.7581484066357258</v>
      </c>
      <c r="W18" s="1">
        <f ca="1">_xll.QCurves_GetForwardRate($D$33,U18,U19,"Linear","Act365F")</f>
        <v>8.6185728618481366E-2</v>
      </c>
      <c r="X18" s="1">
        <f ca="1">_xll.QCurves_GetDF($D$34,valDate,U18)</f>
        <v>0.76939035534761735</v>
      </c>
      <c r="Y18" s="1">
        <f ca="1">_xll.QCurves_GetDF($D$35,valDate,U18)</f>
        <v>0.90026721919765751</v>
      </c>
    </row>
    <row r="19" spans="2:25" x14ac:dyDescent="0.25">
      <c r="B19" t="s">
        <v>32</v>
      </c>
      <c r="E19" s="3">
        <v>4.0000000000000001E-3</v>
      </c>
      <c r="F19" t="str">
        <f ca="1">_xll.QIns_CreateIRBasisSwap("ZAROISBasis_"&amp;B19,valDate,B19,oisIndex,index,E19,TRUE,1,"ZAR.OIS.1B","ZAR.JIBAR.3M","ZAR.OIS.1B","ZAR.OIS.1B")</f>
        <v>ZAROISBasis_6m¬0</v>
      </c>
      <c r="I19" t="s">
        <v>32</v>
      </c>
      <c r="L19" s="3">
        <v>4.0000000000000001E-3</v>
      </c>
      <c r="M19" t="str">
        <f ca="1">_xll.QIns_CreateIRBasisSwap("USDOISBasis_"&amp;I19,valDate,I19,$J$3,$J$2,L19,TRUE,1,"USD.OIS.1B","USD.LIBOR.3M","USD.OIS.1B","USD.OIS.1B")</f>
        <v>USDOISBasis_6m¬0</v>
      </c>
      <c r="R19" s="5"/>
      <c r="S19" s="5"/>
      <c r="U19" s="2">
        <f t="shared" ca="1" si="0"/>
        <v>44723</v>
      </c>
      <c r="V19" s="1">
        <f ca="1">_xll.QCurves_GetDF($D$33,valDate,U19)</f>
        <v>0.74202892196935799</v>
      </c>
      <c r="W19" s="1">
        <f ca="1">_xll.QCurves_GetForwardRate($D$33,U19,U20,"Linear","Act365F")</f>
        <v>8.702685948779712E-2</v>
      </c>
      <c r="X19" s="1">
        <f ca="1">_xll.QCurves_GetDF($D$34,valDate,U19)</f>
        <v>0.75367594163225826</v>
      </c>
      <c r="Y19" s="1">
        <f ca="1">_xll.QCurves_GetDF($D$35,valDate,U19)</f>
        <v>0.89339294041795647</v>
      </c>
    </row>
    <row r="20" spans="2:25" x14ac:dyDescent="0.25">
      <c r="B20" t="s">
        <v>33</v>
      </c>
      <c r="E20" s="3">
        <v>4.0000000000000001E-3</v>
      </c>
      <c r="F20" t="str">
        <f ca="1">_xll.QIns_CreateIRBasisSwap("ZAROISBasis_"&amp;B20,valDate,B20,oisIndex,index,E20,TRUE,1,"ZAR.OIS.1B","ZAR.JIBAR.3M","ZAR.OIS.1B","ZAR.OIS.1B")</f>
        <v>ZAROISBasis_9m¬0</v>
      </c>
      <c r="I20" t="s">
        <v>33</v>
      </c>
      <c r="L20" s="3">
        <v>4.0000000000000001E-3</v>
      </c>
      <c r="M20" t="str">
        <f ca="1">_xll.QIns_CreateIRBasisSwap("USDOISBasis_"&amp;I20,valDate,I20,$J$3,$J$2,L20,TRUE,1,"USD.OIS.1B","USD.LIBOR.3M","USD.OIS.1B","USD.OIS.1B")</f>
        <v>USDOISBasis_9m¬0</v>
      </c>
      <c r="U20" s="2">
        <f t="shared" ca="1" si="0"/>
        <v>44815</v>
      </c>
      <c r="V20" s="1">
        <f ca="1">_xll.QCurves_GetDF($D$33,valDate,U20)</f>
        <v>0.72610149561158499</v>
      </c>
      <c r="W20" s="1">
        <f ca="1">_xll.QCurves_GetForwardRate($D$33,U20,U21,"Linear","Act365F")</f>
        <v>8.7880030400768583E-2</v>
      </c>
      <c r="X20" s="1">
        <f ca="1">_xll.QCurves_GetDF($D$34,valDate,U20)</f>
        <v>0.73810893892134133</v>
      </c>
      <c r="Y20" s="1">
        <f ca="1">_xll.QCurves_GetDF($D$35,valDate,U20)</f>
        <v>0.88655972122946491</v>
      </c>
    </row>
    <row r="21" spans="2:25" x14ac:dyDescent="0.25">
      <c r="B21" t="s">
        <v>34</v>
      </c>
      <c r="E21" s="3">
        <v>4.0000000000000001E-3</v>
      </c>
      <c r="F21" t="str">
        <f ca="1">_xll.QIns_CreateIRBasisSwap("ZAROISBasis_"&amp;B21,valDate,B21,oisIndex,index,E21,TRUE,1,"ZAR.OIS.1B","ZAR.JIBAR.3M","ZAR.OIS.1B","ZAR.OIS.1B")</f>
        <v>ZAROISBasis_1y¬0</v>
      </c>
      <c r="I21" t="s">
        <v>34</v>
      </c>
      <c r="L21" s="3">
        <v>4.0000000000000001E-3</v>
      </c>
      <c r="M21" t="str">
        <f ca="1">_xll.QIns_CreateIRBasisSwap("USDOISBasis_"&amp;I21,valDate,I21,$J$3,$J$2,L21,TRUE,1,"USD.OIS.1B","USD.LIBOR.3M","USD.OIS.1B","USD.OIS.1B")</f>
        <v>USDOISBasis_1y¬0</v>
      </c>
      <c r="U21" s="2">
        <f t="shared" ca="1" si="0"/>
        <v>44906</v>
      </c>
      <c r="V21" s="1">
        <f ca="1">_xll.QCurves_GetDF($D$33,valDate,U21)</f>
        <v>0.71053383027169559</v>
      </c>
      <c r="W21" s="1">
        <f ca="1">_xll.QCurves_GetForwardRate($D$33,U21,U22,"Linear","Act365F")</f>
        <v>8.8700353527939077E-2</v>
      </c>
      <c r="X21" s="1">
        <f ca="1">_xll.QCurves_GetDF($D$34,valDate,U21)</f>
        <v>0.72286027472739678</v>
      </c>
      <c r="Y21" s="1">
        <f ca="1">_xll.QCurves_GetDF($D$35,valDate,U21)</f>
        <v>0.87993088463029911</v>
      </c>
    </row>
    <row r="22" spans="2:25" x14ac:dyDescent="0.25">
      <c r="B22" t="s">
        <v>35</v>
      </c>
      <c r="E22" s="3">
        <v>4.0000000000000001E-3</v>
      </c>
      <c r="F22" t="str">
        <f ca="1">_xll.QIns_CreateIRBasisSwap("ZAROISBasis_"&amp;B22,valDate,B22,oisIndex,index,E22,TRUE,1,"ZAR.OIS.1B","ZAR.JIBAR.3M","ZAR.OIS.1B","ZAR.OIS.1B")</f>
        <v>ZAROISBasis_18m¬0</v>
      </c>
      <c r="I22" t="s">
        <v>35</v>
      </c>
      <c r="L22" s="3">
        <v>4.0000000000000001E-3</v>
      </c>
      <c r="M22" t="str">
        <f ca="1">_xll.QIns_CreateIRBasisSwap("USDOISBasis_"&amp;I22,valDate,I22,$J$3,$J$2,L22,TRUE,1,"USD.OIS.1B","USD.LIBOR.3M","USD.OIS.1B","USD.OIS.1B")</f>
        <v>USDOISBasis_18m¬0</v>
      </c>
      <c r="U22" s="2">
        <f t="shared" ca="1" si="0"/>
        <v>44996</v>
      </c>
      <c r="V22" s="1">
        <f ca="1">_xll.QCurves_GetDF($D$33,valDate,U22)</f>
        <v>0.69532612994592147</v>
      </c>
      <c r="W22" s="1">
        <f ca="1">_xll.QCurves_GetForwardRate($D$33,U22,U23,"Linear","Act365F")</f>
        <v>8.955746058083941E-2</v>
      </c>
      <c r="X22" s="1">
        <f ca="1">_xll.QCurves_GetDF($D$34,valDate,U22)</f>
        <v>0.70792887397166893</v>
      </c>
      <c r="Y22" s="1">
        <f ca="1">_xll.QCurves_GetDF($D$35,valDate,U22)</f>
        <v>0.87342413101986671</v>
      </c>
    </row>
    <row r="23" spans="2:25" x14ac:dyDescent="0.25">
      <c r="B23" t="s">
        <v>12</v>
      </c>
      <c r="E23" s="3">
        <v>4.0000000000000001E-3</v>
      </c>
      <c r="F23" t="str">
        <f ca="1">_xll.QIns_CreateIRBasisSwap("ZAROISBasis_"&amp;B23,valDate,B23,oisIndex,index,E23,TRUE,1,"ZAR.OIS.1B","ZAR.JIBAR.3M","ZAR.OIS.1B","ZAR.OIS.1B")</f>
        <v>ZAROISBasis_2y¬0</v>
      </c>
      <c r="I23" t="s">
        <v>12</v>
      </c>
      <c r="L23" s="3">
        <v>4.0000000000000001E-3</v>
      </c>
      <c r="M23" t="str">
        <f ca="1">_xll.QIns_CreateIRBasisSwap("USDOISBasis_"&amp;I23,valDate,I23,$J$3,$J$2,L23,TRUE,1,"USD.OIS.1B","USD.LIBOR.3M","USD.OIS.1B","USD.OIS.1B")</f>
        <v>USDOISBasis_2y¬0</v>
      </c>
      <c r="U23" s="2">
        <f t="shared" ca="1" si="0"/>
        <v>45088</v>
      </c>
      <c r="V23" s="1">
        <f ca="1">_xll.QCurves_GetDF($D$33,valDate,U23)</f>
        <v>0.67997675136569813</v>
      </c>
      <c r="W23" s="1">
        <f ca="1">_xll.QCurves_GetForwardRate($D$33,U23,U24,"Linear","Act365F")</f>
        <v>9.0402522752556377E-2</v>
      </c>
      <c r="X23" s="1">
        <f ca="1">_xll.QCurves_GetDF($D$34,valDate,U23)</f>
        <v>0.69282326581725506</v>
      </c>
      <c r="Y23" s="1">
        <f ca="1">_xll.QCurves_GetDF($D$35,valDate,U23)</f>
        <v>0.86682206667675066</v>
      </c>
    </row>
    <row r="24" spans="2:25" x14ac:dyDescent="0.25">
      <c r="B24" t="s">
        <v>15</v>
      </c>
      <c r="E24" s="3">
        <v>4.0000000000000001E-3</v>
      </c>
      <c r="F24" t="str">
        <f ca="1">_xll.QIns_CreateIRBasisSwap("ZAROISBasis_"&amp;B24,valDate,B24,oisIndex,index,E24,TRUE,1,"ZAR.OIS.1B","ZAR.JIBAR.3M","ZAR.OIS.1B","ZAR.OIS.1B")</f>
        <v>ZAROISBasis_5y¬0</v>
      </c>
      <c r="I24" t="s">
        <v>15</v>
      </c>
      <c r="L24" s="3">
        <v>4.0000000000000001E-3</v>
      </c>
      <c r="M24" t="str">
        <f ca="1">_xll.QIns_CreateIRBasisSwap("USDOISBasis_"&amp;I24,valDate,I24,$J$3,$J$2,L24,TRUE,1,"USD.OIS.1B","USD.LIBOR.3M","USD.OIS.1B","USD.OIS.1B")</f>
        <v>USDOISBasis_5y¬0</v>
      </c>
      <c r="U24" s="2">
        <f t="shared" ca="1" si="0"/>
        <v>45180</v>
      </c>
      <c r="V24" s="1">
        <f ca="1">_xll.QCurves_GetDF($D$33,valDate,U24)</f>
        <v>0.66482772794168821</v>
      </c>
      <c r="W24" s="1">
        <f ca="1">_xll.QCurves_GetForwardRate($D$33,U24,U25,"Linear","Act365F")</f>
        <v>9.0136764411830356E-2</v>
      </c>
      <c r="X24" s="1">
        <f ca="1">_xll.QCurves_GetDF($D$34,valDate,U24)</f>
        <v>0.67788059048674476</v>
      </c>
      <c r="Y24" s="1">
        <f ca="1">_xll.QCurves_GetDF($D$35,valDate,U24)</f>
        <v>0.86026946057276932</v>
      </c>
    </row>
    <row r="25" spans="2:25" x14ac:dyDescent="0.25">
      <c r="B25" t="s">
        <v>17</v>
      </c>
      <c r="E25" s="3">
        <v>4.0000000000000001E-3</v>
      </c>
      <c r="F25" t="str">
        <f ca="1">_xll.QIns_CreateIRBasisSwap("ZAROISBasis_"&amp;B25,valDate,B25,oisIndex,index,E25,TRUE,1,"ZAR.OIS.1B","ZAR.JIBAR.3M","ZAR.OIS.1B","ZAR.OIS.1B")</f>
        <v>ZAROISBasis_10y¬0</v>
      </c>
      <c r="I25" t="s">
        <v>17</v>
      </c>
      <c r="L25" s="3">
        <v>4.0000000000000001E-3</v>
      </c>
      <c r="M25" t="str">
        <f ca="1">_xll.QIns_CreateIRBasisSwap("USDOISBasis_"&amp;I25,valDate,I25,$J$3,$J$2,L25,TRUE,1,"USD.OIS.1B","USD.LIBOR.3M","USD.OIS.1B","USD.OIS.1B")</f>
        <v>USDOISBasis_10y¬0</v>
      </c>
      <c r="U25" s="2">
        <f t="shared" ca="1" si="0"/>
        <v>45271</v>
      </c>
      <c r="V25" s="1">
        <f ca="1">_xll.QCurves_GetDF($D$33,valDate,U25)</f>
        <v>0.65021578391222823</v>
      </c>
      <c r="W25" s="1">
        <f ca="1">_xll.QCurves_GetForwardRate($D$33,U25,U26,"Linear","Act365F")</f>
        <v>9.0868583347310045E-2</v>
      </c>
      <c r="X25" s="1">
        <f ca="1">_xll.QCurves_GetDF($D$34,valDate,U25)</f>
        <v>0.66385703815433872</v>
      </c>
      <c r="Y25" s="1">
        <f ca="1">_xll.QCurves_GetDF($D$35,valDate,U25)</f>
        <v>0.8537877500242792</v>
      </c>
    </row>
    <row r="26" spans="2:25" x14ac:dyDescent="0.25">
      <c r="U26" s="2">
        <f t="shared" ca="1" si="0"/>
        <v>45362</v>
      </c>
      <c r="V26" s="1">
        <f ca="1">_xll.QCurves_GetDF($D$33,valDate,U26)</f>
        <v>0.63581153271741697</v>
      </c>
      <c r="W26" s="1">
        <f ca="1">_xll.QCurves_GetForwardRate($D$33,U26,U27,"Linear","Act365F")</f>
        <v>9.1615964415175832E-2</v>
      </c>
      <c r="X26" s="1">
        <f ca="1">_xll.QCurves_GetDF($D$34,valDate,U26)</f>
        <v>0.6500292288278654</v>
      </c>
      <c r="Y26" s="1">
        <f ca="1">_xll.QCurves_GetDF($D$35,valDate,U26)</f>
        <v>0.8473498651655994</v>
      </c>
    </row>
    <row r="27" spans="2:25" x14ac:dyDescent="0.25">
      <c r="B27" t="s">
        <v>51</v>
      </c>
      <c r="C27" t="str">
        <f ca="1">_xll.QIns_CreateFundingInstrumentCollection("FundingInstruments_ZAR",F6:F25)</f>
        <v>FundingInstruments_ZAR¬0</v>
      </c>
      <c r="G27" t="s">
        <v>53</v>
      </c>
      <c r="H27">
        <v>0</v>
      </c>
      <c r="J27" t="str">
        <f>_xll.QIns_CreateFxPair("USDZAR","ZAR","USD","NYC+JHB","2b")</f>
        <v>USDZAR¬0</v>
      </c>
      <c r="L27" t="s">
        <v>63</v>
      </c>
      <c r="M27">
        <f>1/Q5</f>
        <v>6.621551826886149E-2</v>
      </c>
      <c r="U27" s="2">
        <f t="shared" ca="1" si="0"/>
        <v>45454</v>
      </c>
      <c r="V27" s="1">
        <f ca="1">_xll.QCurves_GetDF($D$33,valDate,U27)</f>
        <v>0.62146061317004953</v>
      </c>
      <c r="W27" s="1">
        <f ca="1">_xll.QCurves_GetForwardRate($D$33,U27,U28,"Linear","Act365F")</f>
        <v>9.2356275256131104E-2</v>
      </c>
      <c r="X27" s="1">
        <f ca="1">_xll.QCurves_GetDF($D$34,valDate,U27)</f>
        <v>0.63624833980417228</v>
      </c>
      <c r="Y27" s="1">
        <f ca="1">_xll.QCurves_GetDF($D$35,valDate,U27)</f>
        <v>0.84088552529130578</v>
      </c>
    </row>
    <row r="28" spans="2:25" x14ac:dyDescent="0.25">
      <c r="B28" t="s">
        <v>50</v>
      </c>
      <c r="C28" t="str">
        <f ca="1">_xll.QIns_CreateFundingInstrumentCollection("FundingInstruments_USD",M6:M25)</f>
        <v>FundingInstruments_USD¬0</v>
      </c>
      <c r="G28" t="s">
        <v>54</v>
      </c>
      <c r="H28">
        <v>0</v>
      </c>
      <c r="J28" t="str">
        <f ca="1">_xll.QIns_CreateFxMatrix("fxMatrix","USD",valDate,L27:M27,J27,L29:M30)</f>
        <v>fxMatrix¬0</v>
      </c>
      <c r="U28" s="2">
        <f t="shared" ca="1" si="0"/>
        <v>45546</v>
      </c>
      <c r="V28" s="1">
        <f ca="1">_xll.QCurves_GetDF($D$33,valDate,U28)</f>
        <v>0.60732284072844955</v>
      </c>
      <c r="W28" s="1">
        <f ca="1">_xll.QCurves_GetForwardRate($D$33,U28,U29,"Linear","Act365F")</f>
        <v>9.3080917788305087E-2</v>
      </c>
      <c r="X28" s="1">
        <f ca="1">_xll.QCurves_GetDF($D$34,valDate,U28)</f>
        <v>0.62266721870191188</v>
      </c>
      <c r="Y28" s="1">
        <f ca="1">_xll.QCurves_GetDF($D$35,valDate,U28)</f>
        <v>0.83446545746877154</v>
      </c>
    </row>
    <row r="29" spans="2:25" x14ac:dyDescent="0.25">
      <c r="B29" t="s">
        <v>62</v>
      </c>
      <c r="C29" t="str">
        <f ca="1">_xll.QIns_CreateFundingInstrumentCollection("FundingInstruments_XCY",S6:S18)</f>
        <v>FundingInstruments_XCY¬0</v>
      </c>
      <c r="G29" t="s">
        <v>55</v>
      </c>
      <c r="H29">
        <v>1</v>
      </c>
      <c r="L29" t="s">
        <v>63</v>
      </c>
      <c r="M29" t="s">
        <v>65</v>
      </c>
      <c r="U29" s="2">
        <f t="shared" ca="1" si="0"/>
        <v>45637</v>
      </c>
      <c r="V29" s="1">
        <f ca="1">_xll.QCurves_GetDF($D$33,valDate,U29)</f>
        <v>0.59354866816564278</v>
      </c>
      <c r="W29" s="1">
        <f ca="1">_xll.QCurves_GetForwardRate($D$33,U29,U30,"Linear","Act365F")</f>
        <v>9.3797276742446756E-2</v>
      </c>
      <c r="X29" s="1">
        <f ca="1">_xll.QCurves_GetDF($D$34,valDate,U29)</f>
        <v>0.60942996944214067</v>
      </c>
      <c r="Y29" s="1">
        <f ca="1">_xll.QCurves_GetDF($D$35,valDate,U29)</f>
        <v>0.82815847029312961</v>
      </c>
    </row>
    <row r="30" spans="2:25" x14ac:dyDescent="0.25">
      <c r="B30" t="s">
        <v>26</v>
      </c>
      <c r="C30" t="str">
        <f ca="1">_xll.QIns_CreateFundingInstrumentCollection("FundingInstrumentsComplex",C27:C29)</f>
        <v>FundingInstrumentsComplex¬0</v>
      </c>
      <c r="G30" t="s">
        <v>56</v>
      </c>
      <c r="H30">
        <v>1</v>
      </c>
      <c r="L30" t="s">
        <v>64</v>
      </c>
      <c r="M30" t="s">
        <v>54</v>
      </c>
      <c r="U30" s="2">
        <f t="shared" ca="1" si="0"/>
        <v>45727</v>
      </c>
      <c r="V30" s="1">
        <f ca="1">_xll.QCurves_GetDF($D$33,valDate,U30)</f>
        <v>0.58013133516501425</v>
      </c>
      <c r="W30" s="1">
        <f ca="1">_xll.QCurves_GetForwardRate($D$33,U30,U31,"Linear","Act365F")</f>
        <v>9.4553862103882086E-2</v>
      </c>
      <c r="X30" s="1">
        <f ca="1">_xll.QCurves_GetDF($D$34,valDate,U30)</f>
        <v>0.59652981641541047</v>
      </c>
      <c r="Y30" s="1">
        <f ca="1">_xll.QCurves_GetDF($D$35,valDate,U30)</f>
        <v>0.82196289715911519</v>
      </c>
    </row>
    <row r="31" spans="2:25" x14ac:dyDescent="0.25">
      <c r="G31" t="s">
        <v>65</v>
      </c>
      <c r="H31">
        <v>2</v>
      </c>
      <c r="U31" s="2">
        <f t="shared" ca="1" si="0"/>
        <v>45819</v>
      </c>
      <c r="V31" s="1">
        <f ca="1">_xll.QCurves_GetDF($D$33,valDate,U31)</f>
        <v>0.56662705186735196</v>
      </c>
      <c r="W31" s="1">
        <f ca="1">_xll.QCurves_GetForwardRate($D$33,U31,U32,"Linear","Act365F")</f>
        <v>9.5294708779677398E-2</v>
      </c>
      <c r="X31" s="1">
        <f ca="1">_xll.QCurves_GetDF($D$34,valDate,U31)</f>
        <v>0.58353953778685475</v>
      </c>
      <c r="Y31" s="1">
        <f ca="1">_xll.QCurves_GetDF($D$35,valDate,U31)</f>
        <v>0.81567267186626857</v>
      </c>
    </row>
    <row r="32" spans="2:25" x14ac:dyDescent="0.25">
      <c r="B32" t="s">
        <v>27</v>
      </c>
      <c r="C32" t="str">
        <f ca="1">_xll.QCurves_CreateFundingModel("ModelComplex",valDate,C30,G27:H31,J28)</f>
        <v>ModelComplex¬0</v>
      </c>
      <c r="U32" s="2">
        <f t="shared" ca="1" si="0"/>
        <v>45911</v>
      </c>
      <c r="V32" s="1">
        <f ca="1">_xll.QCurves_GetDF($D$33,valDate,U32)</f>
        <v>0.55333619952978252</v>
      </c>
      <c r="W32" s="1">
        <f ca="1">_xll.QCurves_GetForwardRate($D$33,U32,U33,"Linear","Act365F")</f>
        <v>9.2503777726692216E-2</v>
      </c>
      <c r="X32" s="1">
        <f ca="1">_xll.QCurves_GetDF($D$34,valDate,U32)</f>
        <v>0.57074745213305456</v>
      </c>
      <c r="Y32" s="1">
        <f ca="1">_xll.QCurves_GetDF($D$35,valDate,U32)</f>
        <v>0.80942569135516473</v>
      </c>
    </row>
    <row r="33" spans="2:25" x14ac:dyDescent="0.25">
      <c r="B33" t="s">
        <v>28</v>
      </c>
      <c r="C33" t="str">
        <f t="array" aca="1" ref="C33:C38" ca="1">_xll.QCurves_ListCurvesInModel(C32)</f>
        <v>ZAR.JIBAR.3M</v>
      </c>
      <c r="D33" t="str">
        <f ca="1">_xll.QCurves_ExtractCurveFromModel($C$32,C33,"curve.complex."&amp;C33)</f>
        <v>curve.complex.ZAR.JIBAR.3M¬0</v>
      </c>
      <c r="U33" s="2">
        <f t="shared" ca="1" si="0"/>
        <v>46002</v>
      </c>
      <c r="V33" s="1">
        <f ca="1">_xll.QCurves_GetDF($D$33,valDate,U33)</f>
        <v>0.54086251151692866</v>
      </c>
      <c r="W33" s="1">
        <f ca="1">_xll.QCurves_GetForwardRate($D$33,U33,U34,"Linear","Act365F")</f>
        <v>9.2980021614007174E-2</v>
      </c>
      <c r="X33" s="1">
        <f ca="1">_xll.QCurves_GetDF($D$34,valDate,U33)</f>
        <v>0.55828880543211756</v>
      </c>
      <c r="Y33" s="1">
        <f ca="1">_xll.QCurves_GetDF($D$35,valDate,U33)</f>
        <v>0.80319148051228395</v>
      </c>
    </row>
    <row r="34" spans="2:25" x14ac:dyDescent="0.25">
      <c r="B34" t="s">
        <v>28</v>
      </c>
      <c r="C34" t="str">
        <f ca="1"/>
        <v>ZAR.OIS.1B</v>
      </c>
      <c r="D34" t="str">
        <f ca="1">_xll.QCurves_ExtractCurveFromModel($C$32,C34,"curve.complex."&amp;C34)</f>
        <v>curve.complex.ZAR.OIS.1B¬0</v>
      </c>
      <c r="U34" s="2">
        <f t="shared" ca="1" si="0"/>
        <v>46092</v>
      </c>
      <c r="V34" s="1">
        <f ca="1">_xll.QCurves_GetDF($D$33,valDate,U34)</f>
        <v>0.52874030427642538</v>
      </c>
      <c r="W34" s="1">
        <f ca="1">_xll.QCurves_GetForwardRate($D$33,U34,U35,"Linear","Act365F")</f>
        <v>9.3494409144794455E-2</v>
      </c>
      <c r="X34" s="1">
        <f ca="1">_xll.QCurves_GetDF($D$34,valDate,U34)</f>
        <v>0.54615659222558233</v>
      </c>
      <c r="Y34" s="1">
        <f ca="1">_xll.QCurves_GetDF($D$35,valDate,U34)</f>
        <v>0.79706183472529535</v>
      </c>
    </row>
    <row r="35" spans="2:25" x14ac:dyDescent="0.25">
      <c r="B35" t="s">
        <v>28</v>
      </c>
      <c r="C35" t="str">
        <f ca="1"/>
        <v>USD.LIBOR.3M</v>
      </c>
      <c r="D35" t="str">
        <f ca="1">_xll.QCurves_ExtractCurveFromModel($C$32,C35,"curve.complex."&amp;C35)</f>
        <v>curve.complex.USD.LIBOR.3M¬0</v>
      </c>
      <c r="U35" s="2">
        <f t="shared" ca="1" si="0"/>
        <v>46184</v>
      </c>
      <c r="V35" s="1">
        <f ca="1">_xll.QCurves_GetDF($D$33,valDate,U35)</f>
        <v>0.51656703326436171</v>
      </c>
      <c r="W35" s="1">
        <f ca="1">_xll.QCurves_GetForwardRate($D$33,U35,U36,"Linear","Act365F")</f>
        <v>9.3990740550498067E-2</v>
      </c>
      <c r="X35" s="1">
        <f ca="1">_xll.QCurves_GetDF($D$34,valDate,U35)</f>
        <v>0.5339488622715578</v>
      </c>
      <c r="Y35" s="1">
        <f ca="1">_xll.QCurves_GetDF($D$35,valDate,U35)</f>
        <v>0.79083292864844268</v>
      </c>
    </row>
    <row r="36" spans="2:25" x14ac:dyDescent="0.25">
      <c r="B36" t="s">
        <v>28</v>
      </c>
      <c r="C36" t="str">
        <f ca="1"/>
        <v>USD.OIS.1B</v>
      </c>
      <c r="D36" t="str">
        <f ca="1">_xll.QCurves_ExtractCurveFromModel($C$32,C36,"curve.complex."&amp;C36)</f>
        <v>curve.complex.USD.OIS.1B¬0</v>
      </c>
      <c r="U36" s="2">
        <f t="shared" ca="1" si="0"/>
        <v>46276</v>
      </c>
      <c r="V36" s="1">
        <f ca="1">_xll.QCurves_GetDF($D$33,valDate,U36)</f>
        <v>0.50461235442259156</v>
      </c>
      <c r="W36" s="1">
        <f ca="1">_xll.QCurves_GetForwardRate($D$33,U36,U37,"Linear","Act365F")</f>
        <v>9.4472302459834262E-2</v>
      </c>
      <c r="X36" s="1">
        <f ca="1">_xll.QCurves_GetDF($D$34,valDate,U36)</f>
        <v>0.52193655432800024</v>
      </c>
      <c r="Y36" s="1">
        <f ca="1">_xll.QCurves_GetDF($D$35,valDate,U36)</f>
        <v>0.78464127228750757</v>
      </c>
    </row>
    <row r="37" spans="2:25" x14ac:dyDescent="0.25">
      <c r="B37" t="s">
        <v>28</v>
      </c>
      <c r="C37" t="str">
        <f ca="1"/>
        <v>ZAR.DISC.[USD.OIS.1B]</v>
      </c>
      <c r="D37" t="str">
        <f ca="1">_xll.QCurves_ExtractCurveFromModel($C$32,C37,"curve.complex."&amp;C37)</f>
        <v>curve.complex.ZAR.DISC.[USD.OIS.1B]¬0</v>
      </c>
      <c r="U37" s="2">
        <f t="shared" ca="1" si="0"/>
        <v>46367</v>
      </c>
      <c r="Y37" s="1"/>
    </row>
    <row r="38" spans="2:25" x14ac:dyDescent="0.25">
      <c r="C38" t="e">
        <f ca="1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SelfDiscounting</vt:lpstr>
      <vt:lpstr>OisDiscounting</vt:lpstr>
      <vt:lpstr>ComplexBuild</vt:lpstr>
      <vt:lpstr>ComplexBuild!index</vt:lpstr>
      <vt:lpstr>OisDiscounting!index</vt:lpstr>
      <vt:lpstr>index</vt:lpstr>
      <vt:lpstr>ComplexBuild!oisIndex</vt:lpstr>
      <vt:lpstr>oisIndex</vt:lpstr>
      <vt:lpstr>ComplexBuild!valDate</vt:lpstr>
      <vt:lpstr>OisDiscounting!valDate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2018-08-21T09:22:15Z</dcterms:created>
  <dcterms:modified xsi:type="dcterms:W3CDTF">2018-09-11T10:33:06Z</dcterms:modified>
</cp:coreProperties>
</file>