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\qwack\qwack-master\examples\"/>
    </mc:Choice>
  </mc:AlternateContent>
  <xr:revisionPtr revIDLastSave="0" documentId="10_ncr:100000_{77DB2592-F1F9-4D4B-AF46-DE0927DBA59A}" xr6:coauthVersionLast="31" xr6:coauthVersionMax="31" xr10:uidLastSave="{00000000-0000-0000-0000-000000000000}"/>
  <bookViews>
    <workbookView xWindow="0" yWindow="39960" windowWidth="19200" windowHeight="11955" tabRatio="603" firstSheet="2" activeTab="6" xr2:uid="{00000000-000D-0000-FFFF-FFFF00000000}"/>
  </bookViews>
  <sheets>
    <sheet name="FundingFx" sheetId="2" r:id="rId1"/>
    <sheet name="MetalCurves" sheetId="1" r:id="rId2"/>
    <sheet name="SwapPricer" sheetId="11" r:id="rId3"/>
    <sheet name="CustomSwap" sheetId="14" r:id="rId4"/>
    <sheet name="OptionPricer" sheetId="13" r:id="rId5"/>
    <sheet name="FxOptionPricer" sheetId="17" r:id="rId6"/>
    <sheet name="BackPricing" sheetId="15" r:id="rId7"/>
    <sheet name="CompoVolSolver" sheetId="16" r:id="rId8"/>
  </sheets>
  <externalReferences>
    <externalReference r:id="rId9"/>
  </externalReferences>
  <definedNames>
    <definedName name="cashDate">MetalCurves!$B$3</definedName>
    <definedName name="CDate">'[1]i. Net Risk'!$C$6</definedName>
    <definedName name="ConfigTable">'[1]Config Sheet'!$C$4:$D$80</definedName>
    <definedName name="CurrentDate">'[1]i. Net Risk'!$C$6</definedName>
    <definedName name="m3Date">MetalCurves!$B$2</definedName>
    <definedName name="ValDate">MetalCurves!$B$1</definedName>
    <definedName name="ZARPublicHolidays">'[1]Other Curves'!$O$7:$O$1221</definedName>
  </definedName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5" l="1"/>
  <c r="B2" i="15"/>
  <c r="G1" i="15"/>
  <c r="E2" i="15" s="1"/>
  <c r="A10" i="15"/>
  <c r="F10" i="15"/>
  <c r="G10" i="15" s="1"/>
  <c r="H10" i="15" s="1"/>
  <c r="A11" i="15"/>
  <c r="F11" i="15"/>
  <c r="G11" i="15" s="1"/>
  <c r="H11" i="15" s="1"/>
  <c r="J1" i="15"/>
  <c r="F9" i="15"/>
  <c r="G9" i="15" s="1"/>
  <c r="H9" i="15" s="1"/>
  <c r="A9" i="15"/>
  <c r="J48" i="13"/>
  <c r="J47" i="13"/>
  <c r="J46" i="13"/>
  <c r="J45" i="13"/>
  <c r="J44" i="13"/>
  <c r="J43" i="13"/>
  <c r="J42" i="13"/>
  <c r="J41" i="13"/>
  <c r="J40" i="13"/>
  <c r="J39" i="13"/>
  <c r="J38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0" i="13"/>
  <c r="J19" i="13"/>
  <c r="J17" i="13"/>
  <c r="J16" i="13"/>
  <c r="J15" i="13"/>
  <c r="J14" i="13"/>
  <c r="J13" i="13"/>
  <c r="J12" i="13"/>
  <c r="J11" i="13"/>
  <c r="J10" i="13"/>
  <c r="J3" i="13"/>
  <c r="J4" i="13"/>
  <c r="J5" i="13"/>
  <c r="J6" i="13"/>
  <c r="J7" i="13"/>
  <c r="J2" i="13"/>
  <c r="C3" i="14"/>
  <c r="C4" i="14" s="1"/>
  <c r="C5" i="14" s="1"/>
  <c r="C6" i="14" s="1"/>
  <c r="C7" i="14" s="1"/>
  <c r="C8" i="14" s="1"/>
  <c r="M3" i="14"/>
  <c r="J2" i="14"/>
  <c r="J51" i="11"/>
  <c r="J50" i="11"/>
  <c r="J49" i="11"/>
  <c r="J48" i="11"/>
  <c r="J47" i="11"/>
  <c r="J46" i="11"/>
  <c r="J45" i="11"/>
  <c r="J44" i="11"/>
  <c r="J43" i="11"/>
  <c r="J42" i="11"/>
  <c r="J41" i="11"/>
  <c r="J29" i="11"/>
  <c r="J30" i="11"/>
  <c r="J31" i="11"/>
  <c r="J32" i="11"/>
  <c r="J33" i="11"/>
  <c r="J34" i="11"/>
  <c r="J35" i="11"/>
  <c r="J36" i="11"/>
  <c r="J37" i="11"/>
  <c r="J38" i="11"/>
  <c r="J39" i="11"/>
  <c r="J28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" i="11"/>
  <c r="H3" i="17"/>
  <c r="H4" i="17"/>
  <c r="H5" i="17"/>
  <c r="H6" i="17"/>
  <c r="H7" i="17"/>
  <c r="H8" i="17"/>
  <c r="H9" i="17"/>
  <c r="H10" i="17"/>
  <c r="H11" i="17"/>
  <c r="H12" i="17"/>
  <c r="H13" i="17"/>
  <c r="H2" i="17"/>
  <c r="I11" i="15"/>
  <c r="I10" i="15"/>
  <c r="I9" i="15"/>
  <c r="V3" i="1"/>
  <c r="Q3" i="1"/>
  <c r="N6" i="1"/>
  <c r="K6" i="1"/>
  <c r="H6" i="1"/>
  <c r="E6" i="1"/>
  <c r="I7" i="15" l="1"/>
  <c r="B21" i="2"/>
  <c r="B16" i="2"/>
  <c r="B15" i="2"/>
  <c r="P25" i="2"/>
  <c r="N19" i="2"/>
  <c r="B8" i="2"/>
  <c r="M3" i="2"/>
  <c r="O25" i="2"/>
  <c r="O21" i="2"/>
  <c r="M21" i="2"/>
  <c r="N25" i="2"/>
  <c r="N23" i="2"/>
  <c r="B1" i="2"/>
  <c r="M14" i="2"/>
  <c r="N20" i="2"/>
  <c r="B10" i="2"/>
  <c r="P26" i="2"/>
  <c r="L25" i="2"/>
  <c r="M9" i="2"/>
  <c r="B7" i="2"/>
  <c r="B2" i="2"/>
  <c r="N26" i="2"/>
  <c r="M10" i="2"/>
  <c r="B9" i="2"/>
  <c r="P24" i="2"/>
  <c r="M12" i="2"/>
  <c r="N21" i="2"/>
  <c r="M11" i="2"/>
  <c r="M27" i="2"/>
  <c r="M28" i="2"/>
  <c r="M2" i="2"/>
  <c r="M24" i="2"/>
  <c r="M8" i="2"/>
  <c r="B4" i="2"/>
  <c r="P29" i="2"/>
  <c r="L24" i="2"/>
  <c r="M20" i="2"/>
  <c r="P19" i="2"/>
  <c r="P20" i="2"/>
  <c r="N29" i="2"/>
  <c r="L21" i="2"/>
  <c r="M29" i="2"/>
  <c r="M26" i="2"/>
  <c r="L26" i="2"/>
  <c r="M22" i="2"/>
  <c r="N24" i="2"/>
  <c r="N27" i="2"/>
  <c r="O28" i="2"/>
  <c r="O22" i="2"/>
  <c r="M4" i="2"/>
  <c r="N28" i="2"/>
  <c r="O26" i="2"/>
  <c r="N22" i="2"/>
  <c r="P30" i="2"/>
  <c r="M13" i="2"/>
  <c r="B12" i="2"/>
  <c r="B11" i="2"/>
  <c r="P27" i="2"/>
  <c r="B6" i="2"/>
  <c r="M30" i="2"/>
  <c r="O29" i="2"/>
  <c r="L30" i="2"/>
  <c r="N30" i="2"/>
  <c r="H1" i="2"/>
  <c r="L23" i="2"/>
  <c r="L19" i="2"/>
  <c r="M6" i="2"/>
  <c r="B5" i="2"/>
  <c r="M23" i="2"/>
  <c r="L20" i="2"/>
  <c r="O19" i="2"/>
  <c r="L27" i="2"/>
  <c r="O23" i="2"/>
  <c r="P21" i="2"/>
  <c r="L28" i="2"/>
  <c r="O27" i="2"/>
  <c r="M5" i="2"/>
  <c r="M25" i="2"/>
  <c r="B3" i="2"/>
  <c r="O24" i="2"/>
  <c r="O30" i="2"/>
  <c r="B13" i="2"/>
  <c r="P23" i="2"/>
  <c r="L22" i="2"/>
  <c r="O20" i="2"/>
  <c r="L29" i="2"/>
  <c r="P28" i="2"/>
  <c r="M7" i="2"/>
  <c r="M19" i="2"/>
  <c r="P22" i="2"/>
  <c r="E16" i="2" l="1"/>
  <c r="N1" i="17" s="1"/>
  <c r="D2" i="17" s="1"/>
  <c r="D3" i="17" s="1"/>
  <c r="D4" i="17" s="1"/>
  <c r="D5" i="17" s="1"/>
  <c r="D6" i="17" s="1"/>
  <c r="D7" i="17" s="1"/>
  <c r="D8" i="17" s="1"/>
  <c r="D9" i="17" s="1"/>
  <c r="D10" i="17" s="1"/>
  <c r="D11" i="17" s="1"/>
  <c r="D12" i="17" s="1"/>
  <c r="D13" i="17" s="1"/>
  <c r="C13" i="2"/>
  <c r="R30" i="2" s="1"/>
  <c r="C12" i="2"/>
  <c r="R28" i="2" s="1"/>
  <c r="C11" i="2"/>
  <c r="R27" i="2" s="1"/>
  <c r="C10" i="2"/>
  <c r="R26" i="2" s="1"/>
  <c r="C9" i="2"/>
  <c r="R25" i="2" s="1"/>
  <c r="C8" i="2"/>
  <c r="R24" i="2" s="1"/>
  <c r="C7" i="2"/>
  <c r="R23" i="2" s="1"/>
  <c r="C6" i="2"/>
  <c r="R22" i="2" s="1"/>
  <c r="C5" i="2"/>
  <c r="R21" i="2" s="1"/>
  <c r="C4" i="2"/>
  <c r="R20" i="2" s="1"/>
  <c r="C3" i="2"/>
  <c r="C2" i="2"/>
  <c r="R19" i="2" s="1"/>
  <c r="B153" i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H149" i="1"/>
  <c r="R29" i="2" l="1"/>
  <c r="H150" i="1"/>
  <c r="H151" i="1" l="1"/>
  <c r="H152" i="1" l="1"/>
  <c r="H153" i="1" l="1"/>
  <c r="H154" i="1" l="1"/>
  <c r="H155" i="1" l="1"/>
  <c r="H156" i="1" l="1"/>
  <c r="H157" i="1" l="1"/>
  <c r="H158" i="1" l="1"/>
  <c r="H159" i="1" l="1"/>
  <c r="O102" i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N90" i="1"/>
  <c r="F90" i="1"/>
  <c r="N89" i="1"/>
  <c r="F89" i="1"/>
  <c r="N88" i="1"/>
  <c r="F88" i="1"/>
  <c r="N87" i="1"/>
  <c r="F87" i="1"/>
  <c r="N86" i="1"/>
  <c r="F86" i="1"/>
  <c r="N85" i="1"/>
  <c r="F85" i="1"/>
  <c r="N84" i="1"/>
  <c r="F84" i="1"/>
  <c r="N83" i="1"/>
  <c r="F83" i="1"/>
  <c r="N82" i="1"/>
  <c r="F82" i="1"/>
  <c r="N81" i="1"/>
  <c r="F81" i="1"/>
  <c r="C81" i="1"/>
  <c r="D81" i="1" l="1"/>
  <c r="N80" i="1"/>
  <c r="F80" i="1"/>
  <c r="C80" i="1"/>
  <c r="D80" i="1" l="1"/>
  <c r="N79" i="1"/>
  <c r="F79" i="1"/>
  <c r="C79" i="1"/>
  <c r="D79" i="1" l="1"/>
  <c r="C78" i="1"/>
  <c r="D78" i="1" l="1"/>
  <c r="C77" i="1"/>
  <c r="D77" i="1" l="1"/>
  <c r="C76" i="1"/>
  <c r="D76" i="1" l="1"/>
  <c r="O75" i="1"/>
  <c r="J75" i="1"/>
  <c r="K75" i="1"/>
  <c r="R75" i="1"/>
  <c r="C75" i="1"/>
  <c r="I75" i="1"/>
  <c r="P75" i="1"/>
  <c r="G75" i="1"/>
  <c r="S75" i="1"/>
  <c r="H75" i="1"/>
  <c r="Q75" i="1"/>
  <c r="D75" i="1" l="1"/>
  <c r="J74" i="1"/>
  <c r="P74" i="1"/>
  <c r="O74" i="1"/>
  <c r="Q74" i="1"/>
  <c r="I74" i="1"/>
  <c r="R74" i="1"/>
  <c r="S74" i="1"/>
  <c r="K74" i="1"/>
  <c r="H74" i="1"/>
  <c r="G74" i="1"/>
  <c r="C74" i="1"/>
  <c r="D74" i="1" l="1"/>
  <c r="P73" i="1"/>
  <c r="K73" i="1"/>
  <c r="I73" i="1"/>
  <c r="G73" i="1"/>
  <c r="K72" i="1"/>
  <c r="I72" i="1"/>
  <c r="O73" i="1"/>
  <c r="S72" i="1"/>
  <c r="O72" i="1"/>
  <c r="Q71" i="1"/>
  <c r="H71" i="1"/>
  <c r="R72" i="1"/>
  <c r="P72" i="1"/>
  <c r="S73" i="1"/>
  <c r="Q72" i="1"/>
  <c r="H72" i="1"/>
  <c r="G72" i="1"/>
  <c r="R71" i="1"/>
  <c r="P71" i="1"/>
  <c r="K71" i="1"/>
  <c r="I71" i="1"/>
  <c r="G71" i="1"/>
  <c r="Q73" i="1"/>
  <c r="H73" i="1"/>
  <c r="J72" i="1"/>
  <c r="O71" i="1"/>
  <c r="C71" i="1"/>
  <c r="J73" i="1"/>
  <c r="S71" i="1"/>
  <c r="J71" i="1"/>
  <c r="R73" i="1"/>
  <c r="D71" i="1" l="1"/>
  <c r="P70" i="1"/>
  <c r="G70" i="1"/>
  <c r="C70" i="1"/>
  <c r="I70" i="1"/>
  <c r="O70" i="1"/>
  <c r="S70" i="1"/>
  <c r="J70" i="1"/>
  <c r="Q70" i="1"/>
  <c r="H70" i="1"/>
  <c r="K70" i="1"/>
  <c r="R70" i="1"/>
  <c r="D70" i="1" l="1"/>
  <c r="P69" i="1"/>
  <c r="I69" i="1"/>
  <c r="O69" i="1"/>
  <c r="S69" i="1"/>
  <c r="K69" i="1"/>
  <c r="H69" i="1"/>
  <c r="J69" i="1"/>
  <c r="R69" i="1"/>
  <c r="G69" i="1"/>
  <c r="Q69" i="1"/>
  <c r="C69" i="1"/>
  <c r="D69" i="1" l="1"/>
  <c r="I68" i="1"/>
  <c r="J68" i="1"/>
  <c r="S68" i="1"/>
  <c r="Q68" i="1"/>
  <c r="H68" i="1"/>
  <c r="P68" i="1"/>
  <c r="G68" i="1"/>
  <c r="C68" i="1"/>
  <c r="O68" i="1"/>
  <c r="K68" i="1"/>
  <c r="R68" i="1"/>
  <c r="D68" i="1" l="1"/>
  <c r="I67" i="1"/>
  <c r="O67" i="1"/>
  <c r="S67" i="1"/>
  <c r="K67" i="1"/>
  <c r="H67" i="1"/>
  <c r="J67" i="1"/>
  <c r="R67" i="1"/>
  <c r="G67" i="1"/>
  <c r="Q67" i="1"/>
  <c r="C67" i="1"/>
  <c r="P67" i="1"/>
  <c r="D67" i="1" l="1"/>
  <c r="H66" i="1"/>
  <c r="J66" i="1"/>
  <c r="R66" i="1"/>
  <c r="G66" i="1"/>
  <c r="Q66" i="1"/>
  <c r="C66" i="1"/>
  <c r="P66" i="1"/>
  <c r="I66" i="1"/>
  <c r="O66" i="1"/>
  <c r="S66" i="1"/>
  <c r="K66" i="1"/>
  <c r="D66" i="1" l="1"/>
  <c r="P65" i="1"/>
  <c r="O65" i="1"/>
  <c r="S65" i="1"/>
  <c r="K65" i="1"/>
  <c r="H65" i="1"/>
  <c r="J65" i="1"/>
  <c r="G65" i="1"/>
  <c r="Q65" i="1"/>
  <c r="I65" i="1"/>
  <c r="R65" i="1"/>
  <c r="C65" i="1"/>
  <c r="D65" i="1" l="1"/>
  <c r="P64" i="1"/>
  <c r="S64" i="1"/>
  <c r="K64" i="1"/>
  <c r="R64" i="1"/>
  <c r="Q64" i="1"/>
  <c r="I64" i="1"/>
  <c r="O64" i="1"/>
  <c r="H64" i="1"/>
  <c r="J64" i="1"/>
  <c r="G64" i="1"/>
  <c r="C64" i="1"/>
  <c r="D64" i="1" l="1"/>
  <c r="AM14" i="1"/>
  <c r="O6" i="1" l="1"/>
  <c r="L6" i="1" l="1"/>
  <c r="I6" i="1" l="1"/>
  <c r="F6" i="1" l="1"/>
  <c r="A6" i="1"/>
  <c r="B1" i="1"/>
  <c r="U3" i="1"/>
  <c r="T3" i="1"/>
  <c r="S3" i="1"/>
  <c r="R3" i="1"/>
  <c r="B2" i="1" l="1"/>
  <c r="Q30" i="2"/>
  <c r="Q29" i="2"/>
  <c r="Q28" i="2"/>
  <c r="Q27" i="2"/>
  <c r="Q26" i="2"/>
  <c r="Q25" i="2"/>
  <c r="Q24" i="2"/>
  <c r="Q23" i="2"/>
  <c r="Q22" i="2"/>
  <c r="Q21" i="2"/>
  <c r="Q20" i="2"/>
  <c r="Q19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G2" i="2"/>
  <c r="I1" i="2"/>
  <c r="C1" i="2"/>
  <c r="B17" i="2"/>
  <c r="F96" i="1"/>
  <c r="F98" i="1"/>
  <c r="T75" i="1"/>
  <c r="L75" i="1"/>
  <c r="T74" i="1"/>
  <c r="L74" i="1"/>
  <c r="T73" i="1"/>
  <c r="L73" i="1"/>
  <c r="T72" i="1"/>
  <c r="L72" i="1"/>
  <c r="T71" i="1"/>
  <c r="L71" i="1"/>
  <c r="T70" i="1"/>
  <c r="L70" i="1"/>
  <c r="S102" i="1" s="1"/>
  <c r="T69" i="1"/>
  <c r="L69" i="1"/>
  <c r="T68" i="1"/>
  <c r="L68" i="1"/>
  <c r="T67" i="1"/>
  <c r="L67" i="1"/>
  <c r="T66" i="1"/>
  <c r="L66" i="1"/>
  <c r="T65" i="1"/>
  <c r="L65" i="1"/>
  <c r="T64" i="1"/>
  <c r="L64" i="1"/>
  <c r="W6" i="1"/>
  <c r="AM3" i="1"/>
  <c r="AM4" i="1" s="1"/>
  <c r="B3" i="1"/>
  <c r="AQ6" i="1"/>
  <c r="AM6" i="1"/>
  <c r="AN6" i="1"/>
  <c r="AO6" i="1"/>
  <c r="H2" i="2"/>
  <c r="AP6" i="1"/>
  <c r="AL6" i="1"/>
  <c r="O2" i="2" l="1"/>
  <c r="O3" i="2" s="1"/>
  <c r="D10" i="2"/>
  <c r="E10" i="2" s="1"/>
  <c r="D2" i="2"/>
  <c r="E2" i="2" s="1"/>
  <c r="D9" i="2"/>
  <c r="E9" i="2" s="1"/>
  <c r="D8" i="2"/>
  <c r="E8" i="2" s="1"/>
  <c r="D12" i="2"/>
  <c r="E12" i="2" s="1"/>
  <c r="D4" i="2"/>
  <c r="E4" i="2" s="1"/>
  <c r="D11" i="2"/>
  <c r="E11" i="2" s="1"/>
  <c r="D3" i="2"/>
  <c r="E3" i="2" s="1"/>
  <c r="D7" i="2"/>
  <c r="E7" i="2" s="1"/>
  <c r="D6" i="2"/>
  <c r="E6" i="2" s="1"/>
  <c r="D13" i="2"/>
  <c r="E13" i="2" s="1"/>
  <c r="D5" i="2"/>
  <c r="E5" i="2" s="1"/>
  <c r="G3" i="2"/>
  <c r="I2" i="2"/>
  <c r="AS10" i="1" a="1"/>
  <c r="B81" i="1"/>
  <c r="B80" i="1"/>
  <c r="B79" i="1"/>
  <c r="B78" i="1"/>
  <c r="B77" i="1"/>
  <c r="B76" i="1"/>
  <c r="B75" i="1"/>
  <c r="B74" i="1"/>
  <c r="B71" i="1"/>
  <c r="B70" i="1"/>
  <c r="B69" i="1"/>
  <c r="B68" i="1"/>
  <c r="B67" i="1"/>
  <c r="B66" i="1"/>
  <c r="B65" i="1"/>
  <c r="B64" i="1"/>
  <c r="D6" i="1"/>
  <c r="W7" i="1"/>
  <c r="X6" i="1"/>
  <c r="AD6" i="1"/>
  <c r="Y6" i="1"/>
  <c r="AA6" i="1"/>
  <c r="AF6" i="1"/>
  <c r="H3" i="2"/>
  <c r="AB6" i="1"/>
  <c r="AG6" i="1"/>
  <c r="AJ6" i="1"/>
  <c r="G4" i="2" l="1"/>
  <c r="I3" i="2"/>
  <c r="B23" i="2"/>
  <c r="U2" i="1"/>
  <c r="AG3" i="1" s="1"/>
  <c r="V2" i="1"/>
  <c r="E71" i="1" s="1"/>
  <c r="AT36" i="1"/>
  <c r="AT32" i="1"/>
  <c r="AT28" i="1"/>
  <c r="AT24" i="1"/>
  <c r="AT20" i="1"/>
  <c r="AT16" i="1"/>
  <c r="AT12" i="1"/>
  <c r="AS34" i="1"/>
  <c r="AS30" i="1"/>
  <c r="AS26" i="1"/>
  <c r="AS22" i="1"/>
  <c r="AS18" i="1"/>
  <c r="AS14" i="1"/>
  <c r="AS10" i="1"/>
  <c r="AS33" i="1"/>
  <c r="AS29" i="1"/>
  <c r="AS25" i="1"/>
  <c r="AS17" i="1"/>
  <c r="AS13" i="1"/>
  <c r="AS36" i="1"/>
  <c r="AS32" i="1"/>
  <c r="AS28" i="1"/>
  <c r="AS24" i="1"/>
  <c r="AS20" i="1"/>
  <c r="AS16" i="1"/>
  <c r="AS12" i="1"/>
  <c r="AT35" i="1"/>
  <c r="AT31" i="1"/>
  <c r="AT23" i="1"/>
  <c r="AT19" i="1"/>
  <c r="AT15" i="1"/>
  <c r="AT29" i="1"/>
  <c r="AT25" i="1"/>
  <c r="AT17" i="1"/>
  <c r="AT27" i="1"/>
  <c r="AT11" i="1"/>
  <c r="AS35" i="1"/>
  <c r="AS31" i="1"/>
  <c r="AS27" i="1"/>
  <c r="AS23" i="1"/>
  <c r="AS19" i="1"/>
  <c r="AS15" i="1"/>
  <c r="AS11" i="1"/>
  <c r="AT33" i="1"/>
  <c r="AT21" i="1"/>
  <c r="AT13" i="1"/>
  <c r="AS21" i="1"/>
  <c r="AT34" i="1"/>
  <c r="AT30" i="1"/>
  <c r="AT26" i="1"/>
  <c r="AT22" i="1"/>
  <c r="AT18" i="1"/>
  <c r="AT14" i="1"/>
  <c r="AT10" i="1"/>
  <c r="W8" i="1"/>
  <c r="X7" i="1"/>
  <c r="D7" i="1"/>
  <c r="AC6" i="1"/>
  <c r="AI6" i="1"/>
  <c r="AE6" i="1"/>
  <c r="AG7" i="1"/>
  <c r="Z7" i="1"/>
  <c r="AH6" i="1"/>
  <c r="AH7" i="1"/>
  <c r="Z6" i="1"/>
  <c r="AD7" i="1"/>
  <c r="AA7" i="1"/>
  <c r="H4" i="2"/>
  <c r="AE7" i="1"/>
  <c r="G5" i="2" l="1"/>
  <c r="I4" i="2"/>
  <c r="E64" i="1"/>
  <c r="E66" i="1"/>
  <c r="E70" i="1"/>
  <c r="F97" i="1" s="1"/>
  <c r="E65" i="1"/>
  <c r="E67" i="1"/>
  <c r="E68" i="1"/>
  <c r="E69" i="1"/>
  <c r="AH3" i="1"/>
  <c r="C215" i="1" s="1"/>
  <c r="W9" i="1"/>
  <c r="X8" i="1"/>
  <c r="AV21" i="1"/>
  <c r="AX21" i="1"/>
  <c r="AU21" i="1"/>
  <c r="AW21" i="1"/>
  <c r="AY21" i="1"/>
  <c r="AY27" i="1"/>
  <c r="AV27" i="1"/>
  <c r="AX27" i="1"/>
  <c r="AU27" i="1"/>
  <c r="AW27" i="1"/>
  <c r="AU24" i="1"/>
  <c r="AW24" i="1"/>
  <c r="AY24" i="1"/>
  <c r="AV24" i="1"/>
  <c r="AX24" i="1"/>
  <c r="AW33" i="1"/>
  <c r="AY33" i="1"/>
  <c r="AV33" i="1"/>
  <c r="AX33" i="1"/>
  <c r="AU33" i="1"/>
  <c r="AX31" i="1"/>
  <c r="AU31" i="1"/>
  <c r="AW31" i="1"/>
  <c r="AY31" i="1"/>
  <c r="AV31" i="1"/>
  <c r="AY28" i="1"/>
  <c r="AV28" i="1"/>
  <c r="AX28" i="1"/>
  <c r="AU28" i="1"/>
  <c r="AW28" i="1"/>
  <c r="AW10" i="1"/>
  <c r="AY10" i="1"/>
  <c r="AV10" i="1"/>
  <c r="AX10" i="1"/>
  <c r="AU10" i="1"/>
  <c r="AY35" i="1"/>
  <c r="AV35" i="1"/>
  <c r="AX35" i="1"/>
  <c r="AU35" i="1"/>
  <c r="AW35" i="1"/>
  <c r="AU32" i="1"/>
  <c r="AW32" i="1"/>
  <c r="AY32" i="1"/>
  <c r="AV32" i="1"/>
  <c r="AX32" i="1"/>
  <c r="AX14" i="1"/>
  <c r="AU14" i="1"/>
  <c r="AW14" i="1"/>
  <c r="AY14" i="1"/>
  <c r="AV14" i="1"/>
  <c r="AY36" i="1"/>
  <c r="AV36" i="1"/>
  <c r="AX36" i="1"/>
  <c r="AU36" i="1"/>
  <c r="AW36" i="1"/>
  <c r="AW18" i="1"/>
  <c r="AY18" i="1"/>
  <c r="AV18" i="1"/>
  <c r="AX18" i="1"/>
  <c r="AU18" i="1"/>
  <c r="D8" i="1"/>
  <c r="A7" i="1"/>
  <c r="B7" i="1" s="1"/>
  <c r="AY11" i="1"/>
  <c r="AV11" i="1"/>
  <c r="AX11" i="1"/>
  <c r="AU11" i="1"/>
  <c r="AW11" i="1"/>
  <c r="AV13" i="1"/>
  <c r="AX13" i="1"/>
  <c r="AU13" i="1"/>
  <c r="AW13" i="1"/>
  <c r="AY13" i="1"/>
  <c r="AX22" i="1"/>
  <c r="AU22" i="1"/>
  <c r="AW22" i="1"/>
  <c r="AY22" i="1"/>
  <c r="AV22" i="1"/>
  <c r="AY19" i="1"/>
  <c r="AV19" i="1"/>
  <c r="AX19" i="1"/>
  <c r="AU19" i="1"/>
  <c r="AW19" i="1"/>
  <c r="AU16" i="1"/>
  <c r="AW16" i="1"/>
  <c r="AY16" i="1"/>
  <c r="AV16" i="1"/>
  <c r="AX16" i="1"/>
  <c r="AW25" i="1"/>
  <c r="AY25" i="1"/>
  <c r="AV25" i="1"/>
  <c r="AX25" i="1"/>
  <c r="AU25" i="1"/>
  <c r="AX30" i="1"/>
  <c r="AU30" i="1"/>
  <c r="AW30" i="1"/>
  <c r="AY30" i="1"/>
  <c r="AV30" i="1"/>
  <c r="AX23" i="1"/>
  <c r="AU23" i="1"/>
  <c r="AW23" i="1"/>
  <c r="AY23" i="1"/>
  <c r="AV23" i="1"/>
  <c r="AY20" i="1"/>
  <c r="AV20" i="1"/>
  <c r="AX20" i="1"/>
  <c r="AU20" i="1"/>
  <c r="AW20" i="1"/>
  <c r="AV29" i="1"/>
  <c r="AX29" i="1"/>
  <c r="AU29" i="1"/>
  <c r="AW29" i="1"/>
  <c r="AY29" i="1"/>
  <c r="AW34" i="1"/>
  <c r="AY34" i="1"/>
  <c r="AV34" i="1"/>
  <c r="AX34" i="1"/>
  <c r="AU34" i="1"/>
  <c r="AX15" i="1"/>
  <c r="AU15" i="1"/>
  <c r="AW15" i="1"/>
  <c r="AY15" i="1"/>
  <c r="AV15" i="1"/>
  <c r="AY12" i="1"/>
  <c r="AV12" i="1"/>
  <c r="AX12" i="1"/>
  <c r="AU12" i="1"/>
  <c r="AW12" i="1"/>
  <c r="AW17" i="1"/>
  <c r="AY17" i="1"/>
  <c r="AV17" i="1"/>
  <c r="AX17" i="1"/>
  <c r="AU17" i="1"/>
  <c r="AW26" i="1"/>
  <c r="AY26" i="1"/>
  <c r="AV26" i="1"/>
  <c r="AX26" i="1"/>
  <c r="AU26" i="1"/>
  <c r="N7" i="1"/>
  <c r="K7" i="1"/>
  <c r="H7" i="1"/>
  <c r="E7" i="1"/>
  <c r="AF7" i="1"/>
  <c r="AD8" i="1"/>
  <c r="AF8" i="1"/>
  <c r="Y7" i="1"/>
  <c r="AC7" i="1"/>
  <c r="AI7" i="1"/>
  <c r="Z8" i="1"/>
  <c r="Y8" i="1"/>
  <c r="AJ7" i="1"/>
  <c r="AG8" i="1"/>
  <c r="AC8" i="1"/>
  <c r="AA8" i="1"/>
  <c r="AB7" i="1"/>
  <c r="AI8" i="1"/>
  <c r="AB8" i="1"/>
  <c r="AE8" i="1"/>
  <c r="AH8" i="1"/>
  <c r="AJ8" i="1"/>
  <c r="H5" i="2"/>
  <c r="H80" i="1" l="1"/>
  <c r="I86" i="1"/>
  <c r="S83" i="1"/>
  <c r="Q86" i="1"/>
  <c r="O85" i="1"/>
  <c r="K90" i="1"/>
  <c r="C194" i="1"/>
  <c r="C173" i="1"/>
  <c r="R80" i="1"/>
  <c r="J86" i="1"/>
  <c r="O84" i="1"/>
  <c r="G90" i="1"/>
  <c r="P83" i="1"/>
  <c r="C150" i="1"/>
  <c r="C222" i="1"/>
  <c r="C174" i="1"/>
  <c r="G6" i="2"/>
  <c r="I5" i="2"/>
  <c r="I80" i="1"/>
  <c r="P87" i="1"/>
  <c r="O88" i="1"/>
  <c r="H88" i="1"/>
  <c r="P89" i="1"/>
  <c r="C156" i="1"/>
  <c r="C226" i="1"/>
  <c r="C178" i="1"/>
  <c r="K85" i="1"/>
  <c r="J88" i="1"/>
  <c r="I89" i="1"/>
  <c r="G86" i="1"/>
  <c r="J90" i="1"/>
  <c r="C157" i="1"/>
  <c r="C228" i="1"/>
  <c r="C183" i="1"/>
  <c r="H79" i="1"/>
  <c r="Q90" i="1"/>
  <c r="H87" i="1"/>
  <c r="J85" i="1"/>
  <c r="Q88" i="1"/>
  <c r="G85" i="1"/>
  <c r="C224" i="1"/>
  <c r="C195" i="1"/>
  <c r="C219" i="1"/>
  <c r="I79" i="1"/>
  <c r="O83" i="1"/>
  <c r="R87" i="1"/>
  <c r="P86" i="1"/>
  <c r="S82" i="1"/>
  <c r="Q85" i="1"/>
  <c r="C161" i="1"/>
  <c r="C160" i="1"/>
  <c r="C223" i="1"/>
  <c r="R79" i="1"/>
  <c r="K87" i="1"/>
  <c r="R85" i="1"/>
  <c r="S89" i="1"/>
  <c r="G88" i="1"/>
  <c r="K84" i="1"/>
  <c r="C158" i="1"/>
  <c r="C169" i="1"/>
  <c r="C187" i="1"/>
  <c r="S79" i="1"/>
  <c r="S84" i="1"/>
  <c r="I83" i="1"/>
  <c r="J87" i="1"/>
  <c r="I84" i="1"/>
  <c r="Q89" i="1"/>
  <c r="C190" i="1"/>
  <c r="C165" i="1"/>
  <c r="P79" i="1"/>
  <c r="O80" i="1"/>
  <c r="J80" i="1"/>
  <c r="R84" i="1"/>
  <c r="I90" i="1"/>
  <c r="R81" i="1"/>
  <c r="R89" i="1"/>
  <c r="S85" i="1"/>
  <c r="J81" i="1"/>
  <c r="J89" i="1"/>
  <c r="I82" i="1"/>
  <c r="R82" i="1"/>
  <c r="O87" i="1"/>
  <c r="Q81" i="1"/>
  <c r="G87" i="1"/>
  <c r="C152" i="1"/>
  <c r="C168" i="1"/>
  <c r="C209" i="1"/>
  <c r="C206" i="1"/>
  <c r="C176" i="1"/>
  <c r="C205" i="1"/>
  <c r="C192" i="1"/>
  <c r="C201" i="1"/>
  <c r="C167" i="1"/>
  <c r="C203" i="1"/>
  <c r="J79" i="1"/>
  <c r="P80" i="1"/>
  <c r="K80" i="1"/>
  <c r="R86" i="1"/>
  <c r="P81" i="1"/>
  <c r="H83" i="1"/>
  <c r="I81" i="1"/>
  <c r="O86" i="1"/>
  <c r="P82" i="1"/>
  <c r="P90" i="1"/>
  <c r="S88" i="1"/>
  <c r="H84" i="1"/>
  <c r="O89" i="1"/>
  <c r="K82" i="1"/>
  <c r="Q87" i="1"/>
  <c r="C153" i="1"/>
  <c r="C184" i="1"/>
  <c r="C229" i="1"/>
  <c r="C210" i="1"/>
  <c r="C188" i="1"/>
  <c r="C217" i="1"/>
  <c r="C200" i="1"/>
  <c r="C213" i="1"/>
  <c r="C171" i="1"/>
  <c r="C207" i="1"/>
  <c r="C177" i="1"/>
  <c r="C198" i="1"/>
  <c r="C230" i="1"/>
  <c r="C181" i="1"/>
  <c r="C172" i="1"/>
  <c r="C185" i="1"/>
  <c r="C186" i="1"/>
  <c r="C191" i="1"/>
  <c r="C227" i="1"/>
  <c r="O79" i="1"/>
  <c r="K79" i="1"/>
  <c r="S80" i="1"/>
  <c r="H82" i="1"/>
  <c r="I88" i="1"/>
  <c r="H81" i="1"/>
  <c r="H89" i="1"/>
  <c r="I85" i="1"/>
  <c r="O90" i="1"/>
  <c r="P88" i="1"/>
  <c r="H90" i="1"/>
  <c r="K89" i="1"/>
  <c r="S86" i="1"/>
  <c r="G81" i="1"/>
  <c r="K86" i="1"/>
  <c r="C151" i="1"/>
  <c r="C159" i="1"/>
  <c r="C193" i="1"/>
  <c r="C202" i="1"/>
  <c r="C164" i="1"/>
  <c r="C189" i="1"/>
  <c r="C180" i="1"/>
  <c r="C197" i="1"/>
  <c r="C163" i="1"/>
  <c r="C199" i="1"/>
  <c r="C231" i="1"/>
  <c r="G79" i="1"/>
  <c r="G80" i="1"/>
  <c r="K81" i="1"/>
  <c r="R88" i="1"/>
  <c r="J84" i="1"/>
  <c r="R83" i="1"/>
  <c r="S81" i="1"/>
  <c r="I87" i="1"/>
  <c r="J83" i="1"/>
  <c r="G82" i="1"/>
  <c r="Q82" i="1"/>
  <c r="H86" i="1"/>
  <c r="S90" i="1"/>
  <c r="G83" i="1"/>
  <c r="K88" i="1"/>
  <c r="C154" i="1"/>
  <c r="C196" i="1"/>
  <c r="C170" i="1"/>
  <c r="C214" i="1"/>
  <c r="C204" i="1"/>
  <c r="C221" i="1"/>
  <c r="C208" i="1"/>
  <c r="C225" i="1"/>
  <c r="C175" i="1"/>
  <c r="C211" i="1"/>
  <c r="Q79" i="1"/>
  <c r="Q80" i="1"/>
  <c r="K83" i="1"/>
  <c r="R90" i="1"/>
  <c r="P85" i="1"/>
  <c r="H85" i="1"/>
  <c r="O82" i="1"/>
  <c r="S87" i="1"/>
  <c r="P84" i="1"/>
  <c r="Q84" i="1"/>
  <c r="G84" i="1"/>
  <c r="O81" i="1"/>
  <c r="J82" i="1"/>
  <c r="Q83" i="1"/>
  <c r="G89" i="1"/>
  <c r="C155" i="1"/>
  <c r="C216" i="1"/>
  <c r="C182" i="1"/>
  <c r="C218" i="1"/>
  <c r="C212" i="1"/>
  <c r="C166" i="1"/>
  <c r="C220" i="1"/>
  <c r="C162" i="1"/>
  <c r="C179" i="1"/>
  <c r="D9" i="1"/>
  <c r="A8" i="1"/>
  <c r="B8" i="1" s="1"/>
  <c r="W10" i="1"/>
  <c r="X9" i="1"/>
  <c r="N8" i="1"/>
  <c r="K8" i="1"/>
  <c r="H8" i="1"/>
  <c r="E8" i="1"/>
  <c r="H6" i="2"/>
  <c r="AF9" i="1"/>
  <c r="AC9" i="1"/>
  <c r="AE9" i="1"/>
  <c r="G7" i="2" l="1"/>
  <c r="I6" i="2"/>
  <c r="D10" i="1"/>
  <c r="A9" i="1"/>
  <c r="B9" i="1" s="1"/>
  <c r="W11" i="1"/>
  <c r="X10" i="1"/>
  <c r="J140" i="1"/>
  <c r="L140" i="1" s="1"/>
  <c r="J132" i="1"/>
  <c r="L132" i="1" s="1"/>
  <c r="J124" i="1"/>
  <c r="L124" i="1" s="1"/>
  <c r="J116" i="1"/>
  <c r="L116" i="1" s="1"/>
  <c r="J108" i="1"/>
  <c r="L108" i="1" s="1"/>
  <c r="J100" i="1"/>
  <c r="L100" i="1" s="1"/>
  <c r="J147" i="1"/>
  <c r="L147" i="1" s="1"/>
  <c r="J139" i="1"/>
  <c r="L139" i="1" s="1"/>
  <c r="J131" i="1"/>
  <c r="L131" i="1" s="1"/>
  <c r="J123" i="1"/>
  <c r="L123" i="1" s="1"/>
  <c r="J115" i="1"/>
  <c r="L115" i="1" s="1"/>
  <c r="J107" i="1"/>
  <c r="L107" i="1" s="1"/>
  <c r="J99" i="1"/>
  <c r="L99" i="1" s="1"/>
  <c r="J146" i="1"/>
  <c r="L146" i="1" s="1"/>
  <c r="J138" i="1"/>
  <c r="L138" i="1" s="1"/>
  <c r="J130" i="1"/>
  <c r="L130" i="1" s="1"/>
  <c r="J122" i="1"/>
  <c r="L122" i="1" s="1"/>
  <c r="J114" i="1"/>
  <c r="L114" i="1" s="1"/>
  <c r="J106" i="1"/>
  <c r="L106" i="1" s="1"/>
  <c r="J98" i="1"/>
  <c r="L98" i="1" s="1"/>
  <c r="J145" i="1"/>
  <c r="L145" i="1" s="1"/>
  <c r="J137" i="1"/>
  <c r="L137" i="1" s="1"/>
  <c r="J129" i="1"/>
  <c r="L129" i="1" s="1"/>
  <c r="J121" i="1"/>
  <c r="L121" i="1" s="1"/>
  <c r="J113" i="1"/>
  <c r="L113" i="1" s="1"/>
  <c r="J105" i="1"/>
  <c r="L105" i="1" s="1"/>
  <c r="J97" i="1"/>
  <c r="L97" i="1" s="1"/>
  <c r="J144" i="1"/>
  <c r="L144" i="1" s="1"/>
  <c r="J136" i="1"/>
  <c r="L136" i="1" s="1"/>
  <c r="J128" i="1"/>
  <c r="L128" i="1" s="1"/>
  <c r="J120" i="1"/>
  <c r="L120" i="1" s="1"/>
  <c r="J112" i="1"/>
  <c r="L112" i="1" s="1"/>
  <c r="J104" i="1"/>
  <c r="L104" i="1" s="1"/>
  <c r="J96" i="1"/>
  <c r="L96" i="1" s="1"/>
  <c r="J143" i="1"/>
  <c r="L143" i="1" s="1"/>
  <c r="J135" i="1"/>
  <c r="L135" i="1" s="1"/>
  <c r="J127" i="1"/>
  <c r="L127" i="1" s="1"/>
  <c r="J119" i="1"/>
  <c r="L119" i="1" s="1"/>
  <c r="J111" i="1"/>
  <c r="L111" i="1" s="1"/>
  <c r="J103" i="1"/>
  <c r="L103" i="1" s="1"/>
  <c r="J95" i="1"/>
  <c r="L95" i="1" s="1"/>
  <c r="J142" i="1"/>
  <c r="L142" i="1" s="1"/>
  <c r="J134" i="1"/>
  <c r="L134" i="1" s="1"/>
  <c r="J126" i="1"/>
  <c r="L126" i="1" s="1"/>
  <c r="J118" i="1"/>
  <c r="L118" i="1" s="1"/>
  <c r="J110" i="1"/>
  <c r="L110" i="1" s="1"/>
  <c r="J102" i="1"/>
  <c r="L102" i="1" s="1"/>
  <c r="J94" i="1"/>
  <c r="L94" i="1" s="1"/>
  <c r="J141" i="1"/>
  <c r="L141" i="1" s="1"/>
  <c r="J133" i="1"/>
  <c r="L133" i="1" s="1"/>
  <c r="J125" i="1"/>
  <c r="L125" i="1" s="1"/>
  <c r="J117" i="1"/>
  <c r="L117" i="1" s="1"/>
  <c r="J109" i="1"/>
  <c r="L109" i="1" s="1"/>
  <c r="J101" i="1"/>
  <c r="L101" i="1" s="1"/>
  <c r="N9" i="1"/>
  <c r="K9" i="1"/>
  <c r="H9" i="1"/>
  <c r="E9" i="1"/>
  <c r="AI9" i="1"/>
  <c r="AE10" i="1"/>
  <c r="AB10" i="1"/>
  <c r="AD9" i="1"/>
  <c r="H7" i="2"/>
  <c r="AJ10" i="1"/>
  <c r="Y10" i="1"/>
  <c r="AF10" i="1"/>
  <c r="AJ9" i="1"/>
  <c r="AG10" i="1"/>
  <c r="AA9" i="1"/>
  <c r="AB9" i="1"/>
  <c r="Z10" i="1"/>
  <c r="AA10" i="1"/>
  <c r="AG9" i="1"/>
  <c r="AC10" i="1"/>
  <c r="AH9" i="1"/>
  <c r="AH10" i="1"/>
  <c r="AI10" i="1"/>
  <c r="Y9" i="1"/>
  <c r="AD10" i="1"/>
  <c r="Z9" i="1"/>
  <c r="G8" i="2" l="1"/>
  <c r="I7" i="2"/>
  <c r="D11" i="1"/>
  <c r="A10" i="1"/>
  <c r="B10" i="1" s="1"/>
  <c r="N10" i="1" s="1"/>
  <c r="K145" i="1"/>
  <c r="M145" i="1" s="1"/>
  <c r="K137" i="1"/>
  <c r="M137" i="1" s="1"/>
  <c r="K129" i="1"/>
  <c r="M129" i="1" s="1"/>
  <c r="K121" i="1"/>
  <c r="M121" i="1" s="1"/>
  <c r="K113" i="1"/>
  <c r="M113" i="1" s="1"/>
  <c r="K105" i="1"/>
  <c r="M105" i="1" s="1"/>
  <c r="K144" i="1"/>
  <c r="M144" i="1" s="1"/>
  <c r="K136" i="1"/>
  <c r="M136" i="1" s="1"/>
  <c r="K128" i="1"/>
  <c r="M128" i="1" s="1"/>
  <c r="K120" i="1"/>
  <c r="M120" i="1" s="1"/>
  <c r="K112" i="1"/>
  <c r="M112" i="1" s="1"/>
  <c r="K104" i="1"/>
  <c r="M104" i="1" s="1"/>
  <c r="K97" i="1"/>
  <c r="M97" i="1" s="1"/>
  <c r="K143" i="1"/>
  <c r="M143" i="1" s="1"/>
  <c r="K135" i="1"/>
  <c r="M135" i="1" s="1"/>
  <c r="K127" i="1"/>
  <c r="M127" i="1" s="1"/>
  <c r="K119" i="1"/>
  <c r="M119" i="1" s="1"/>
  <c r="K111" i="1"/>
  <c r="M111" i="1" s="1"/>
  <c r="K103" i="1"/>
  <c r="M103" i="1" s="1"/>
  <c r="K96" i="1"/>
  <c r="M96" i="1" s="1"/>
  <c r="K142" i="1"/>
  <c r="M142" i="1" s="1"/>
  <c r="K134" i="1"/>
  <c r="M134" i="1" s="1"/>
  <c r="K126" i="1"/>
  <c r="M126" i="1" s="1"/>
  <c r="K118" i="1"/>
  <c r="M118" i="1" s="1"/>
  <c r="K110" i="1"/>
  <c r="M110" i="1" s="1"/>
  <c r="K102" i="1"/>
  <c r="M102" i="1" s="1"/>
  <c r="K95" i="1"/>
  <c r="M95" i="1" s="1"/>
  <c r="K141" i="1"/>
  <c r="M141" i="1" s="1"/>
  <c r="K133" i="1"/>
  <c r="M133" i="1" s="1"/>
  <c r="K125" i="1"/>
  <c r="M125" i="1" s="1"/>
  <c r="K117" i="1"/>
  <c r="M117" i="1" s="1"/>
  <c r="K109" i="1"/>
  <c r="M109" i="1" s="1"/>
  <c r="K101" i="1"/>
  <c r="M101" i="1" s="1"/>
  <c r="K94" i="1"/>
  <c r="M94" i="1" s="1"/>
  <c r="K140" i="1"/>
  <c r="M140" i="1" s="1"/>
  <c r="K132" i="1"/>
  <c r="M132" i="1" s="1"/>
  <c r="K124" i="1"/>
  <c r="M124" i="1" s="1"/>
  <c r="K116" i="1"/>
  <c r="M116" i="1" s="1"/>
  <c r="K108" i="1"/>
  <c r="M108" i="1" s="1"/>
  <c r="K100" i="1"/>
  <c r="M100" i="1" s="1"/>
  <c r="K147" i="1"/>
  <c r="M147" i="1" s="1"/>
  <c r="K139" i="1"/>
  <c r="M139" i="1" s="1"/>
  <c r="K131" i="1"/>
  <c r="M131" i="1" s="1"/>
  <c r="K123" i="1"/>
  <c r="M123" i="1" s="1"/>
  <c r="K115" i="1"/>
  <c r="M115" i="1" s="1"/>
  <c r="K107" i="1"/>
  <c r="M107" i="1" s="1"/>
  <c r="K99" i="1"/>
  <c r="M99" i="1" s="1"/>
  <c r="K146" i="1"/>
  <c r="M146" i="1" s="1"/>
  <c r="K138" i="1"/>
  <c r="M138" i="1" s="1"/>
  <c r="K130" i="1"/>
  <c r="M130" i="1" s="1"/>
  <c r="K122" i="1"/>
  <c r="M122" i="1" s="1"/>
  <c r="K114" i="1"/>
  <c r="M114" i="1" s="1"/>
  <c r="K106" i="1"/>
  <c r="M106" i="1" s="1"/>
  <c r="K98" i="1"/>
  <c r="M98" i="1" s="1"/>
  <c r="F94" i="1"/>
  <c r="W12" i="1"/>
  <c r="X11" i="1"/>
  <c r="AE11" i="1"/>
  <c r="Y11" i="1"/>
  <c r="H8" i="2"/>
  <c r="AF11" i="1"/>
  <c r="AD11" i="1"/>
  <c r="H10" i="1" l="1"/>
  <c r="K10" i="1"/>
  <c r="E10" i="1"/>
  <c r="G9" i="2"/>
  <c r="I8" i="2"/>
  <c r="D12" i="1"/>
  <c r="A11" i="1"/>
  <c r="B11" i="1" s="1"/>
  <c r="W13" i="1"/>
  <c r="X12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G95" i="1"/>
  <c r="I95" i="1"/>
  <c r="F95" i="1"/>
  <c r="I94" i="1"/>
  <c r="N11" i="1"/>
  <c r="K11" i="1"/>
  <c r="H11" i="1"/>
  <c r="E11" i="1"/>
  <c r="R152" i="1"/>
  <c r="AD12" i="1"/>
  <c r="AA11" i="1"/>
  <c r="R121" i="1"/>
  <c r="R140" i="1"/>
  <c r="R118" i="1"/>
  <c r="R96" i="1"/>
  <c r="R137" i="1"/>
  <c r="R99" i="1"/>
  <c r="R127" i="1"/>
  <c r="AJ11" i="1"/>
  <c r="R95" i="1"/>
  <c r="R145" i="1"/>
  <c r="AH11" i="1"/>
  <c r="R120" i="1"/>
  <c r="R139" i="1"/>
  <c r="R125" i="1"/>
  <c r="R111" i="1"/>
  <c r="R136" i="1"/>
  <c r="R98" i="1"/>
  <c r="R148" i="1"/>
  <c r="R126" i="1"/>
  <c r="AB11" i="1"/>
  <c r="R103" i="1"/>
  <c r="R144" i="1"/>
  <c r="Z11" i="1"/>
  <c r="R135" i="1"/>
  <c r="R146" i="1"/>
  <c r="R132" i="1"/>
  <c r="R110" i="1"/>
  <c r="R151" i="1"/>
  <c r="AF12" i="1"/>
  <c r="R147" i="1"/>
  <c r="R133" i="1"/>
  <c r="R124" i="1"/>
  <c r="R102" i="1"/>
  <c r="R159" i="1"/>
  <c r="R156" i="1"/>
  <c r="R134" i="1"/>
  <c r="AA12" i="1"/>
  <c r="R131" i="1"/>
  <c r="R117" i="1"/>
  <c r="R150" i="1"/>
  <c r="R129" i="1"/>
  <c r="R154" i="1"/>
  <c r="R104" i="1"/>
  <c r="AJ12" i="1"/>
  <c r="R114" i="1"/>
  <c r="H9" i="2"/>
  <c r="R153" i="1"/>
  <c r="R122" i="1"/>
  <c r="AI11" i="1"/>
  <c r="AG12" i="1"/>
  <c r="AG11" i="1"/>
  <c r="R119" i="1"/>
  <c r="R97" i="1"/>
  <c r="AE12" i="1"/>
  <c r="R100" i="1"/>
  <c r="R149" i="1"/>
  <c r="R112" i="1"/>
  <c r="R123" i="1"/>
  <c r="R109" i="1"/>
  <c r="R158" i="1"/>
  <c r="R155" i="1"/>
  <c r="R141" i="1"/>
  <c r="AI12" i="1"/>
  <c r="R138" i="1"/>
  <c r="R108" i="1"/>
  <c r="R157" i="1"/>
  <c r="R128" i="1"/>
  <c r="Z12" i="1"/>
  <c r="R130" i="1"/>
  <c r="R116" i="1"/>
  <c r="R94" i="1"/>
  <c r="R106" i="1"/>
  <c r="R105" i="1"/>
  <c r="AB12" i="1"/>
  <c r="R107" i="1"/>
  <c r="R143" i="1"/>
  <c r="AH12" i="1"/>
  <c r="AC12" i="1"/>
  <c r="R115" i="1"/>
  <c r="R101" i="1"/>
  <c r="Y12" i="1"/>
  <c r="AC11" i="1"/>
  <c r="R142" i="1"/>
  <c r="R113" i="1"/>
  <c r="G10" i="2" l="1"/>
  <c r="I9" i="2"/>
  <c r="S93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W14" i="1"/>
  <c r="X13" i="1"/>
  <c r="D13" i="1"/>
  <c r="A12" i="1"/>
  <c r="B12" i="1" s="1"/>
  <c r="N12" i="1"/>
  <c r="K12" i="1"/>
  <c r="H12" i="1"/>
  <c r="E12" i="1"/>
  <c r="H10" i="2"/>
  <c r="AE13" i="1"/>
  <c r="G11" i="2" l="1"/>
  <c r="I10" i="2"/>
  <c r="W15" i="1"/>
  <c r="X14" i="1"/>
  <c r="D14" i="1"/>
  <c r="A13" i="1"/>
  <c r="B13" i="1" s="1"/>
  <c r="W102" i="1"/>
  <c r="V102" i="1"/>
  <c r="U102" i="1"/>
  <c r="T102" i="1"/>
  <c r="X102" i="1"/>
  <c r="U99" i="1"/>
  <c r="U98" i="1"/>
  <c r="U97" i="1"/>
  <c r="U96" i="1"/>
  <c r="U95" i="1"/>
  <c r="N13" i="1"/>
  <c r="K13" i="1"/>
  <c r="H13" i="1"/>
  <c r="E13" i="1"/>
  <c r="AD13" i="1"/>
  <c r="AI14" i="1"/>
  <c r="AH14" i="1"/>
  <c r="AC13" i="1"/>
  <c r="AB14" i="1"/>
  <c r="AF13" i="1"/>
  <c r="AC14" i="1"/>
  <c r="AI13" i="1"/>
  <c r="Y14" i="1"/>
  <c r="AA13" i="1"/>
  <c r="AJ13" i="1"/>
  <c r="AD14" i="1"/>
  <c r="AG14" i="1"/>
  <c r="AH13" i="1"/>
  <c r="AG13" i="1"/>
  <c r="AB13" i="1"/>
  <c r="Z13" i="1"/>
  <c r="AA14" i="1"/>
  <c r="AE14" i="1"/>
  <c r="Y13" i="1"/>
  <c r="Z14" i="1"/>
  <c r="AJ14" i="1"/>
  <c r="AF14" i="1"/>
  <c r="H11" i="2"/>
  <c r="G12" i="2" l="1"/>
  <c r="I11" i="2"/>
  <c r="V94" i="1"/>
  <c r="V95" i="1" s="1"/>
  <c r="D15" i="1"/>
  <c r="A14" i="1"/>
  <c r="B14" i="1" s="1"/>
  <c r="W16" i="1"/>
  <c r="X15" i="1"/>
  <c r="N14" i="1"/>
  <c r="K14" i="1"/>
  <c r="H14" i="1"/>
  <c r="E14" i="1"/>
  <c r="H12" i="2"/>
  <c r="Y15" i="1"/>
  <c r="G13" i="2" l="1"/>
  <c r="I12" i="2"/>
  <c r="W17" i="1"/>
  <c r="X16" i="1"/>
  <c r="D16" i="1"/>
  <c r="A15" i="1"/>
  <c r="B15" i="1" s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N15" i="1"/>
  <c r="K15" i="1"/>
  <c r="H15" i="1"/>
  <c r="E15" i="1"/>
  <c r="AI15" i="1"/>
  <c r="AH15" i="1"/>
  <c r="AD15" i="1"/>
  <c r="AE16" i="1"/>
  <c r="Z15" i="1"/>
  <c r="AA15" i="1"/>
  <c r="AG15" i="1"/>
  <c r="AF15" i="1"/>
  <c r="AB16" i="1"/>
  <c r="AC15" i="1"/>
  <c r="H13" i="2"/>
  <c r="AB15" i="1"/>
  <c r="AA16" i="1"/>
  <c r="AJ15" i="1"/>
  <c r="AJ16" i="1"/>
  <c r="Z16" i="1"/>
  <c r="AF16" i="1"/>
  <c r="AC16" i="1"/>
  <c r="AH16" i="1"/>
  <c r="Y16" i="1"/>
  <c r="AE15" i="1"/>
  <c r="AD16" i="1"/>
  <c r="AI16" i="1"/>
  <c r="AG16" i="1"/>
  <c r="G14" i="2" l="1"/>
  <c r="I13" i="2"/>
  <c r="D17" i="1"/>
  <c r="A16" i="1"/>
  <c r="B16" i="1" s="1"/>
  <c r="W18" i="1"/>
  <c r="X17" i="1"/>
  <c r="N16" i="1"/>
  <c r="K16" i="1"/>
  <c r="H16" i="1"/>
  <c r="E16" i="1"/>
  <c r="H14" i="2"/>
  <c r="AA17" i="1"/>
  <c r="I14" i="2" l="1"/>
  <c r="G15" i="2"/>
  <c r="W19" i="1"/>
  <c r="X18" i="1"/>
  <c r="D18" i="1"/>
  <c r="A17" i="1"/>
  <c r="B17" i="1" s="1"/>
  <c r="N17" i="1"/>
  <c r="K17" i="1"/>
  <c r="H17" i="1"/>
  <c r="E17" i="1"/>
  <c r="AH17" i="1"/>
  <c r="AI17" i="1"/>
  <c r="AE17" i="1"/>
  <c r="Y17" i="1"/>
  <c r="AJ17" i="1"/>
  <c r="AB17" i="1"/>
  <c r="Z17" i="1"/>
  <c r="AF17" i="1"/>
  <c r="AD17" i="1"/>
  <c r="AG17" i="1"/>
  <c r="AC17" i="1"/>
  <c r="H15" i="2"/>
  <c r="Y18" i="1"/>
  <c r="G16" i="2" l="1"/>
  <c r="I15" i="2"/>
  <c r="D19" i="1"/>
  <c r="A18" i="1"/>
  <c r="B18" i="1" s="1"/>
  <c r="W20" i="1"/>
  <c r="X19" i="1"/>
  <c r="N18" i="1"/>
  <c r="K18" i="1"/>
  <c r="H18" i="1"/>
  <c r="E18" i="1"/>
  <c r="AF18" i="1"/>
  <c r="AH18" i="1"/>
  <c r="AC18" i="1"/>
  <c r="AA18" i="1"/>
  <c r="AJ18" i="1"/>
  <c r="AB18" i="1"/>
  <c r="AE18" i="1"/>
  <c r="AI18" i="1"/>
  <c r="AD18" i="1"/>
  <c r="AG18" i="1"/>
  <c r="Z18" i="1"/>
  <c r="H16" i="2"/>
  <c r="Z19" i="1"/>
  <c r="G17" i="2" l="1"/>
  <c r="I16" i="2"/>
  <c r="W21" i="1"/>
  <c r="X20" i="1"/>
  <c r="D20" i="1"/>
  <c r="A19" i="1"/>
  <c r="B19" i="1" s="1"/>
  <c r="N19" i="1"/>
  <c r="K19" i="1"/>
  <c r="H19" i="1"/>
  <c r="E19" i="1"/>
  <c r="AF19" i="1"/>
  <c r="AG19" i="1"/>
  <c r="Y19" i="1"/>
  <c r="AB19" i="1"/>
  <c r="AE19" i="1"/>
  <c r="AH19" i="1"/>
  <c r="AA19" i="1"/>
  <c r="AI19" i="1"/>
  <c r="AD19" i="1"/>
  <c r="AC19" i="1"/>
  <c r="AJ19" i="1"/>
  <c r="H17" i="2"/>
  <c r="Z20" i="1"/>
  <c r="G18" i="2" l="1"/>
  <c r="I17" i="2"/>
  <c r="D21" i="1"/>
  <c r="A20" i="1"/>
  <c r="B20" i="1" s="1"/>
  <c r="W22" i="1"/>
  <c r="X21" i="1"/>
  <c r="N20" i="1"/>
  <c r="K20" i="1"/>
  <c r="H20" i="1"/>
  <c r="E20" i="1"/>
  <c r="AC20" i="1"/>
  <c r="AD20" i="1"/>
  <c r="AG20" i="1"/>
  <c r="AH20" i="1"/>
  <c r="AE20" i="1"/>
  <c r="AJ20" i="1"/>
  <c r="Y20" i="1"/>
  <c r="AI20" i="1"/>
  <c r="AF20" i="1"/>
  <c r="AB20" i="1"/>
  <c r="AA20" i="1"/>
  <c r="Y21" i="1"/>
  <c r="AG21" i="1"/>
  <c r="H18" i="2"/>
  <c r="Z21" i="1"/>
  <c r="G19" i="2" l="1"/>
  <c r="I18" i="2"/>
  <c r="W23" i="1"/>
  <c r="X22" i="1"/>
  <c r="D22" i="1"/>
  <c r="A21" i="1"/>
  <c r="B21" i="1" s="1"/>
  <c r="N21" i="1"/>
  <c r="K21" i="1"/>
  <c r="H21" i="1"/>
  <c r="E21" i="1"/>
  <c r="AA21" i="1"/>
  <c r="AF21" i="1"/>
  <c r="AE21" i="1"/>
  <c r="AH21" i="1"/>
  <c r="AC21" i="1"/>
  <c r="AD21" i="1"/>
  <c r="AJ21" i="1"/>
  <c r="AB21" i="1"/>
  <c r="AI21" i="1"/>
  <c r="H19" i="2"/>
  <c r="AF22" i="1"/>
  <c r="G20" i="2" l="1"/>
  <c r="I19" i="2"/>
  <c r="D23" i="1"/>
  <c r="A22" i="1"/>
  <c r="B22" i="1" s="1"/>
  <c r="W24" i="1"/>
  <c r="X23" i="1"/>
  <c r="N22" i="1"/>
  <c r="K22" i="1"/>
  <c r="H22" i="1"/>
  <c r="E22" i="1"/>
  <c r="AB22" i="1"/>
  <c r="AH22" i="1"/>
  <c r="AC22" i="1"/>
  <c r="AG22" i="1"/>
  <c r="AE22" i="1"/>
  <c r="AA22" i="1"/>
  <c r="AD22" i="1"/>
  <c r="Y22" i="1"/>
  <c r="Z22" i="1"/>
  <c r="AI22" i="1"/>
  <c r="AJ22" i="1"/>
  <c r="H20" i="2"/>
  <c r="AD23" i="1"/>
  <c r="G21" i="2" l="1"/>
  <c r="I20" i="2"/>
  <c r="W25" i="1"/>
  <c r="X24" i="1"/>
  <c r="D24" i="1"/>
  <c r="A23" i="1"/>
  <c r="B23" i="1" s="1"/>
  <c r="N23" i="1"/>
  <c r="K23" i="1"/>
  <c r="H23" i="1"/>
  <c r="E23" i="1"/>
  <c r="AE23" i="1"/>
  <c r="Z23" i="1"/>
  <c r="AG23" i="1"/>
  <c r="AC23" i="1"/>
  <c r="AF24" i="1"/>
  <c r="AF23" i="1"/>
  <c r="Y23" i="1"/>
  <c r="AB23" i="1"/>
  <c r="AE24" i="1"/>
  <c r="AA23" i="1"/>
  <c r="AC24" i="1"/>
  <c r="AJ23" i="1"/>
  <c r="AH23" i="1"/>
  <c r="AD24" i="1"/>
  <c r="AI23" i="1"/>
  <c r="H21" i="2"/>
  <c r="I21" i="2" l="1"/>
  <c r="G22" i="2"/>
  <c r="D25" i="1"/>
  <c r="A24" i="1"/>
  <c r="B24" i="1" s="1"/>
  <c r="W26" i="1"/>
  <c r="X25" i="1"/>
  <c r="N24" i="1"/>
  <c r="K24" i="1"/>
  <c r="H24" i="1"/>
  <c r="E24" i="1"/>
  <c r="AJ24" i="1"/>
  <c r="AI24" i="1"/>
  <c r="AH24" i="1"/>
  <c r="AJ25" i="1"/>
  <c r="AA24" i="1"/>
  <c r="AC25" i="1"/>
  <c r="Z25" i="1"/>
  <c r="AE25" i="1"/>
  <c r="Z24" i="1"/>
  <c r="AG24" i="1"/>
  <c r="AF25" i="1"/>
  <c r="Y24" i="1"/>
  <c r="AB24" i="1"/>
  <c r="Y25" i="1"/>
  <c r="AD25" i="1"/>
  <c r="H22" i="2"/>
  <c r="AG25" i="1"/>
  <c r="G23" i="2" l="1"/>
  <c r="I22" i="2"/>
  <c r="W27" i="1"/>
  <c r="X26" i="1"/>
  <c r="D26" i="1"/>
  <c r="A25" i="1"/>
  <c r="B25" i="1" s="1"/>
  <c r="N25" i="1"/>
  <c r="K25" i="1"/>
  <c r="H25" i="1"/>
  <c r="E25" i="1"/>
  <c r="AB25" i="1"/>
  <c r="AI25" i="1"/>
  <c r="AA25" i="1"/>
  <c r="AH25" i="1"/>
  <c r="H23" i="2"/>
  <c r="AI26" i="1"/>
  <c r="I23" i="2" l="1"/>
  <c r="B24" i="2" s="1"/>
  <c r="B25" i="2" s="1"/>
  <c r="B27" i="2" s="1"/>
  <c r="D27" i="1"/>
  <c r="A26" i="1"/>
  <c r="B26" i="1" s="1"/>
  <c r="W28" i="1"/>
  <c r="X27" i="1"/>
  <c r="N26" i="1"/>
  <c r="K26" i="1"/>
  <c r="H26" i="1"/>
  <c r="E26" i="1"/>
  <c r="Z26" i="1"/>
  <c r="AJ26" i="1"/>
  <c r="AH26" i="1"/>
  <c r="AC26" i="1"/>
  <c r="AG26" i="1"/>
  <c r="AA26" i="1"/>
  <c r="AE26" i="1"/>
  <c r="Y26" i="1"/>
  <c r="AD26" i="1"/>
  <c r="AF26" i="1"/>
  <c r="AB26" i="1"/>
  <c r="AA27" i="1"/>
  <c r="W29" i="1" l="1"/>
  <c r="X28" i="1"/>
  <c r="D28" i="1"/>
  <c r="A27" i="1"/>
  <c r="B27" i="1" s="1"/>
  <c r="N27" i="1"/>
  <c r="K27" i="1"/>
  <c r="H27" i="1"/>
  <c r="E27" i="1"/>
  <c r="Y27" i="1"/>
  <c r="AD27" i="1"/>
  <c r="AB27" i="1"/>
  <c r="AI27" i="1"/>
  <c r="Z27" i="1"/>
  <c r="AF27" i="1"/>
  <c r="AG27" i="1"/>
  <c r="AC27" i="1"/>
  <c r="AE27" i="1"/>
  <c r="AJ27" i="1"/>
  <c r="Y28" i="1"/>
  <c r="AG28" i="1"/>
  <c r="AH27" i="1"/>
  <c r="AD28" i="1"/>
  <c r="AE28" i="1"/>
  <c r="D29" i="1" l="1"/>
  <c r="A28" i="1"/>
  <c r="B28" i="1" s="1"/>
  <c r="W30" i="1"/>
  <c r="X29" i="1"/>
  <c r="N28" i="1"/>
  <c r="K28" i="1"/>
  <c r="H28" i="1"/>
  <c r="E28" i="1"/>
  <c r="Z28" i="1"/>
  <c r="AF28" i="1"/>
  <c r="AH28" i="1"/>
  <c r="AI28" i="1"/>
  <c r="AC28" i="1"/>
  <c r="AA28" i="1"/>
  <c r="AJ28" i="1"/>
  <c r="AB28" i="1"/>
  <c r="Z29" i="1"/>
  <c r="W31" i="1" l="1"/>
  <c r="X30" i="1"/>
  <c r="D30" i="1"/>
  <c r="A29" i="1"/>
  <c r="B29" i="1" s="1"/>
  <c r="N29" i="1"/>
  <c r="K29" i="1"/>
  <c r="H29" i="1"/>
  <c r="E29" i="1"/>
  <c r="AF29" i="1"/>
  <c r="AE30" i="1"/>
  <c r="AJ29" i="1"/>
  <c r="AF30" i="1"/>
  <c r="AA29" i="1"/>
  <c r="AG29" i="1"/>
  <c r="Y29" i="1"/>
  <c r="Z30" i="1"/>
  <c r="AD29" i="1"/>
  <c r="AH29" i="1"/>
  <c r="AI29" i="1"/>
  <c r="AB29" i="1"/>
  <c r="AC29" i="1"/>
  <c r="AE29" i="1"/>
  <c r="D31" i="1" l="1"/>
  <c r="A30" i="1"/>
  <c r="B30" i="1" s="1"/>
  <c r="W32" i="1"/>
  <c r="X31" i="1"/>
  <c r="N30" i="1"/>
  <c r="K30" i="1"/>
  <c r="H30" i="1"/>
  <c r="E30" i="1"/>
  <c r="AD30" i="1"/>
  <c r="AJ30" i="1"/>
  <c r="AA30" i="1"/>
  <c r="AI30" i="1"/>
  <c r="AG30" i="1"/>
  <c r="Y30" i="1"/>
  <c r="AH30" i="1"/>
  <c r="AB30" i="1"/>
  <c r="AC30" i="1"/>
  <c r="AD31" i="1"/>
  <c r="W33" i="1" l="1"/>
  <c r="X32" i="1"/>
  <c r="D32" i="1"/>
  <c r="A31" i="1"/>
  <c r="B31" i="1" s="1"/>
  <c r="N31" i="1"/>
  <c r="K31" i="1"/>
  <c r="H31" i="1"/>
  <c r="E31" i="1"/>
  <c r="AC31" i="1"/>
  <c r="AG31" i="1"/>
  <c r="AA32" i="1"/>
  <c r="Y31" i="1"/>
  <c r="AE31" i="1"/>
  <c r="AF31" i="1"/>
  <c r="AJ31" i="1"/>
  <c r="Z31" i="1"/>
  <c r="AB31" i="1"/>
  <c r="AI31" i="1"/>
  <c r="AH31" i="1"/>
  <c r="AA31" i="1"/>
  <c r="AD32" i="1"/>
  <c r="AE32" i="1"/>
  <c r="D33" i="1" l="1"/>
  <c r="A32" i="1"/>
  <c r="B32" i="1" s="1"/>
  <c r="W34" i="1"/>
  <c r="X33" i="1"/>
  <c r="N32" i="1"/>
  <c r="K32" i="1"/>
  <c r="H32" i="1"/>
  <c r="E32" i="1"/>
  <c r="AG32" i="1"/>
  <c r="Y32" i="1"/>
  <c r="AI32" i="1"/>
  <c r="AC32" i="1"/>
  <c r="AF32" i="1"/>
  <c r="AH32" i="1"/>
  <c r="Z32" i="1"/>
  <c r="AJ32" i="1"/>
  <c r="AB32" i="1"/>
  <c r="AH33" i="1"/>
  <c r="AJ33" i="1" l="1"/>
  <c r="AJ34" i="1" s="1"/>
  <c r="AJ35" i="1" s="1"/>
  <c r="AJ36" i="1" s="1"/>
  <c r="AJ37" i="1" s="1"/>
  <c r="AJ38" i="1" s="1"/>
  <c r="AJ39" i="1" s="1"/>
  <c r="AJ40" i="1" s="1"/>
  <c r="AJ41" i="1" s="1"/>
  <c r="AJ42" i="1" s="1"/>
  <c r="AJ43" i="1" s="1"/>
  <c r="AJ44" i="1" s="1"/>
  <c r="AJ45" i="1" s="1"/>
  <c r="AI33" i="1"/>
  <c r="AI34" i="1" s="1"/>
  <c r="AI35" i="1" s="1"/>
  <c r="AI36" i="1" s="1"/>
  <c r="AI37" i="1" s="1"/>
  <c r="AI38" i="1" s="1"/>
  <c r="AI39" i="1" s="1"/>
  <c r="AI40" i="1" s="1"/>
  <c r="AI41" i="1" s="1"/>
  <c r="AI42" i="1" s="1"/>
  <c r="AI43" i="1" s="1"/>
  <c r="AI44" i="1" s="1"/>
  <c r="AI45" i="1" s="1"/>
  <c r="W35" i="1"/>
  <c r="X34" i="1"/>
  <c r="D34" i="1"/>
  <c r="A33" i="1"/>
  <c r="B33" i="1" s="1"/>
  <c r="N33" i="1"/>
  <c r="K33" i="1"/>
  <c r="H33" i="1"/>
  <c r="E33" i="1"/>
  <c r="Y33" i="1"/>
  <c r="AD33" i="1"/>
  <c r="AC33" i="1"/>
  <c r="AG33" i="1"/>
  <c r="AE33" i="1"/>
  <c r="AA33" i="1"/>
  <c r="Z33" i="1"/>
  <c r="AB33" i="1"/>
  <c r="AF33" i="1"/>
  <c r="Z34" i="1"/>
  <c r="AD34" i="1"/>
  <c r="D35" i="1" l="1"/>
  <c r="A34" i="1"/>
  <c r="B34" i="1" s="1"/>
  <c r="W36" i="1"/>
  <c r="X35" i="1"/>
  <c r="N34" i="1"/>
  <c r="K34" i="1"/>
  <c r="H34" i="1"/>
  <c r="E34" i="1"/>
  <c r="AG34" i="1"/>
  <c r="AC34" i="1"/>
  <c r="AE34" i="1"/>
  <c r="AA34" i="1"/>
  <c r="AB34" i="1"/>
  <c r="Y34" i="1"/>
  <c r="AF34" i="1"/>
  <c r="AH34" i="1"/>
  <c r="Y35" i="1"/>
  <c r="W37" i="1" l="1"/>
  <c r="X36" i="1"/>
  <c r="D36" i="1"/>
  <c r="A35" i="1"/>
  <c r="B35" i="1" s="1"/>
  <c r="N35" i="1"/>
  <c r="K35" i="1"/>
  <c r="H35" i="1"/>
  <c r="E35" i="1"/>
  <c r="AB35" i="1"/>
  <c r="AD35" i="1"/>
  <c r="AC35" i="1"/>
  <c r="AA35" i="1"/>
  <c r="AH35" i="1"/>
  <c r="Z35" i="1"/>
  <c r="AE35" i="1"/>
  <c r="AF35" i="1"/>
  <c r="AG35" i="1"/>
  <c r="Y36" i="1"/>
  <c r="D37" i="1" l="1"/>
  <c r="A36" i="1"/>
  <c r="B36" i="1" s="1"/>
  <c r="W38" i="1"/>
  <c r="X37" i="1"/>
  <c r="N36" i="1"/>
  <c r="K36" i="1"/>
  <c r="H36" i="1"/>
  <c r="E36" i="1"/>
  <c r="AF36" i="1"/>
  <c r="AH36" i="1"/>
  <c r="AC36" i="1"/>
  <c r="AE36" i="1"/>
  <c r="Z36" i="1"/>
  <c r="AA36" i="1"/>
  <c r="AD36" i="1"/>
  <c r="AB36" i="1"/>
  <c r="AG36" i="1"/>
  <c r="Y37" i="1"/>
  <c r="W39" i="1" l="1"/>
  <c r="X38" i="1"/>
  <c r="D38" i="1"/>
  <c r="A37" i="1"/>
  <c r="B37" i="1" s="1"/>
  <c r="N37" i="1"/>
  <c r="K37" i="1"/>
  <c r="H37" i="1"/>
  <c r="E37" i="1"/>
  <c r="AA37" i="1"/>
  <c r="AD37" i="1"/>
  <c r="AE37" i="1"/>
  <c r="AG37" i="1"/>
  <c r="AH37" i="1"/>
  <c r="Z37" i="1"/>
  <c r="AB37" i="1"/>
  <c r="AF37" i="1"/>
  <c r="AC37" i="1"/>
  <c r="Y38" i="1"/>
  <c r="D39" i="1" l="1"/>
  <c r="A38" i="1"/>
  <c r="B38" i="1" s="1"/>
  <c r="W40" i="1"/>
  <c r="X39" i="1"/>
  <c r="N38" i="1"/>
  <c r="K38" i="1"/>
  <c r="H38" i="1"/>
  <c r="E38" i="1"/>
  <c r="AB38" i="1"/>
  <c r="Z38" i="1"/>
  <c r="AF38" i="1"/>
  <c r="AC38" i="1"/>
  <c r="AA38" i="1"/>
  <c r="AE38" i="1"/>
  <c r="AH38" i="1"/>
  <c r="AD38" i="1"/>
  <c r="AG38" i="1"/>
  <c r="Y39" i="1"/>
  <c r="W41" i="1" l="1"/>
  <c r="X40" i="1"/>
  <c r="D40" i="1"/>
  <c r="A39" i="1"/>
  <c r="B39" i="1" s="1"/>
  <c r="N39" i="1"/>
  <c r="K39" i="1"/>
  <c r="H39" i="1"/>
  <c r="E39" i="1"/>
  <c r="AA39" i="1"/>
  <c r="AG39" i="1"/>
  <c r="AC39" i="1"/>
  <c r="AB39" i="1"/>
  <c r="Z39" i="1"/>
  <c r="AH39" i="1"/>
  <c r="AF39" i="1"/>
  <c r="AE39" i="1"/>
  <c r="AD39" i="1"/>
  <c r="AG40" i="1"/>
  <c r="D41" i="1" l="1"/>
  <c r="A40" i="1"/>
  <c r="B40" i="1" s="1"/>
  <c r="W42" i="1"/>
  <c r="X41" i="1"/>
  <c r="N40" i="1"/>
  <c r="K40" i="1"/>
  <c r="H40" i="1"/>
  <c r="E40" i="1"/>
  <c r="Z40" i="1"/>
  <c r="AB40" i="1"/>
  <c r="AA40" i="1"/>
  <c r="AF40" i="1"/>
  <c r="Y40" i="1"/>
  <c r="AC40" i="1"/>
  <c r="AE40" i="1"/>
  <c r="AD40" i="1"/>
  <c r="AH40" i="1"/>
  <c r="Y41" i="1"/>
  <c r="W43" i="1" l="1"/>
  <c r="X42" i="1"/>
  <c r="D42" i="1"/>
  <c r="A41" i="1"/>
  <c r="B41" i="1" s="1"/>
  <c r="N41" i="1"/>
  <c r="K41" i="1"/>
  <c r="H41" i="1"/>
  <c r="E41" i="1"/>
  <c r="AH41" i="1"/>
  <c r="AC41" i="1"/>
  <c r="Z41" i="1"/>
  <c r="AD41" i="1"/>
  <c r="AF41" i="1"/>
  <c r="AG41" i="1"/>
  <c r="AA41" i="1"/>
  <c r="AE41" i="1"/>
  <c r="AB41" i="1"/>
  <c r="Y42" i="1"/>
  <c r="D43" i="1" l="1"/>
  <c r="A42" i="1"/>
  <c r="B42" i="1" s="1"/>
  <c r="W44" i="1"/>
  <c r="X43" i="1"/>
  <c r="N42" i="1"/>
  <c r="K42" i="1"/>
  <c r="H42" i="1"/>
  <c r="E42" i="1"/>
  <c r="AD42" i="1"/>
  <c r="Z42" i="1"/>
  <c r="AB42" i="1"/>
  <c r="AG42" i="1"/>
  <c r="AH42" i="1"/>
  <c r="AA42" i="1"/>
  <c r="AE42" i="1"/>
  <c r="AF42" i="1"/>
  <c r="AC42" i="1"/>
  <c r="AF43" i="1"/>
  <c r="Y43" i="1"/>
  <c r="W45" i="1" l="1"/>
  <c r="X44" i="1"/>
  <c r="D44" i="1"/>
  <c r="A43" i="1"/>
  <c r="B43" i="1" s="1"/>
  <c r="N43" i="1"/>
  <c r="K43" i="1"/>
  <c r="H43" i="1"/>
  <c r="E43" i="1"/>
  <c r="AA43" i="1"/>
  <c r="AH43" i="1"/>
  <c r="AD43" i="1"/>
  <c r="AB43" i="1"/>
  <c r="AC43" i="1"/>
  <c r="AG43" i="1"/>
  <c r="AE43" i="1"/>
  <c r="Z43" i="1"/>
  <c r="Z44" i="1"/>
  <c r="D45" i="1" l="1"/>
  <c r="A44" i="1"/>
  <c r="B44" i="1" s="1"/>
  <c r="X45" i="1"/>
  <c r="N44" i="1"/>
  <c r="K44" i="1"/>
  <c r="H44" i="1"/>
  <c r="E44" i="1"/>
  <c r="Y44" i="1"/>
  <c r="AC44" i="1"/>
  <c r="AG44" i="1"/>
  <c r="AA44" i="1"/>
  <c r="AD44" i="1"/>
  <c r="AH44" i="1"/>
  <c r="AB44" i="1"/>
  <c r="AF44" i="1"/>
  <c r="AE44" i="1"/>
  <c r="AA45" i="1"/>
  <c r="AI3" i="1" l="1"/>
  <c r="AJ3" i="1"/>
  <c r="D46" i="1"/>
  <c r="A45" i="1"/>
  <c r="B45" i="1" s="1"/>
  <c r="N45" i="1"/>
  <c r="K45" i="1"/>
  <c r="H45" i="1"/>
  <c r="E45" i="1"/>
  <c r="AE45" i="1"/>
  <c r="Y45" i="1"/>
  <c r="AH45" i="1"/>
  <c r="AC45" i="1"/>
  <c r="AD45" i="1"/>
  <c r="AF45" i="1"/>
  <c r="Z45" i="1"/>
  <c r="AG45" i="1"/>
  <c r="AB45" i="1"/>
  <c r="Y3" i="1" l="1"/>
  <c r="AD3" i="1"/>
  <c r="D47" i="1"/>
  <c r="A46" i="1"/>
  <c r="B46" i="1" s="1"/>
  <c r="N46" i="1"/>
  <c r="K46" i="1"/>
  <c r="H46" i="1"/>
  <c r="E46" i="1"/>
  <c r="D48" i="1" l="1"/>
  <c r="A47" i="1"/>
  <c r="B47" i="1" s="1"/>
  <c r="H23" i="11"/>
  <c r="F23" i="11"/>
  <c r="H22" i="11"/>
  <c r="F22" i="11"/>
  <c r="H21" i="11"/>
  <c r="F21" i="11"/>
  <c r="H20" i="11"/>
  <c r="F20" i="11"/>
  <c r="H19" i="11"/>
  <c r="F19" i="11"/>
  <c r="H18" i="11"/>
  <c r="F18" i="11"/>
  <c r="H17" i="11"/>
  <c r="F17" i="11"/>
  <c r="H16" i="11"/>
  <c r="F16" i="11"/>
  <c r="H15" i="11"/>
  <c r="F15" i="11"/>
  <c r="N14" i="11"/>
  <c r="N15" i="11" s="1"/>
  <c r="N16" i="11" s="1"/>
  <c r="N17" i="11" s="1"/>
  <c r="N18" i="11" s="1"/>
  <c r="N19" i="11" s="1"/>
  <c r="N20" i="11" s="1"/>
  <c r="N21" i="11" s="1"/>
  <c r="N22" i="11" s="1"/>
  <c r="N23" i="11" s="1"/>
  <c r="H14" i="11"/>
  <c r="F14" i="11"/>
  <c r="H13" i="11"/>
  <c r="F13" i="11"/>
  <c r="F8" i="11"/>
  <c r="H8" i="11"/>
  <c r="F9" i="11"/>
  <c r="H9" i="11"/>
  <c r="F10" i="11"/>
  <c r="H10" i="11"/>
  <c r="F11" i="11"/>
  <c r="H11" i="11"/>
  <c r="F12" i="11"/>
  <c r="H12" i="11"/>
  <c r="N47" i="1"/>
  <c r="K47" i="1"/>
  <c r="H47" i="1"/>
  <c r="E47" i="1"/>
  <c r="D49" i="1" l="1"/>
  <c r="A48" i="1"/>
  <c r="B48" i="1" s="1"/>
  <c r="K19" i="11"/>
  <c r="K23" i="11"/>
  <c r="K17" i="11"/>
  <c r="K15" i="11"/>
  <c r="K16" i="11"/>
  <c r="K14" i="11"/>
  <c r="K10" i="11"/>
  <c r="K13" i="11"/>
  <c r="K20" i="11"/>
  <c r="K22" i="11"/>
  <c r="K18" i="11"/>
  <c r="K21" i="11"/>
  <c r="K12" i="11"/>
  <c r="K11" i="11"/>
  <c r="K9" i="11"/>
  <c r="K8" i="11"/>
  <c r="O1" i="16"/>
  <c r="N48" i="1"/>
  <c r="K48" i="1"/>
  <c r="H48" i="1"/>
  <c r="E48" i="1"/>
  <c r="D50" i="1" l="1"/>
  <c r="A49" i="1"/>
  <c r="B49" i="1" s="1"/>
  <c r="P3" i="16"/>
  <c r="N4" i="16" s="1"/>
  <c r="N49" i="1"/>
  <c r="K49" i="1"/>
  <c r="H49" i="1"/>
  <c r="E49" i="1"/>
  <c r="D51" i="1" l="1"/>
  <c r="A50" i="1"/>
  <c r="B50" i="1" s="1"/>
  <c r="A55" i="16"/>
  <c r="A56" i="16"/>
  <c r="A57" i="16"/>
  <c r="A58" i="16"/>
  <c r="A59" i="16"/>
  <c r="A60" i="16"/>
  <c r="A54" i="16"/>
  <c r="N50" i="1"/>
  <c r="K50" i="1"/>
  <c r="H50" i="1"/>
  <c r="E50" i="1"/>
  <c r="D52" i="1" l="1"/>
  <c r="A51" i="1"/>
  <c r="B51" i="1" s="1"/>
  <c r="C20" i="13"/>
  <c r="N51" i="1"/>
  <c r="K51" i="1"/>
  <c r="H51" i="1"/>
  <c r="E51" i="1"/>
  <c r="D53" i="1" l="1"/>
  <c r="A52" i="1"/>
  <c r="B52" i="1" s="1"/>
  <c r="B1" i="16"/>
  <c r="B2" i="16" s="1"/>
  <c r="N52" i="1"/>
  <c r="K52" i="1"/>
  <c r="H52" i="1"/>
  <c r="E52" i="1"/>
  <c r="D54" i="1" l="1"/>
  <c r="A53" i="1"/>
  <c r="B53" i="1" s="1"/>
  <c r="B8" i="16"/>
  <c r="L60" i="16" s="1"/>
  <c r="B5" i="16"/>
  <c r="K5" i="16" s="1"/>
  <c r="K2" i="16"/>
  <c r="A20" i="16" s="1"/>
  <c r="L54" i="16"/>
  <c r="B3" i="16"/>
  <c r="L55" i="16" s="1"/>
  <c r="B4" i="16"/>
  <c r="L56" i="16" s="1"/>
  <c r="B6" i="16"/>
  <c r="B7" i="16"/>
  <c r="N53" i="1"/>
  <c r="K53" i="1"/>
  <c r="H53" i="1"/>
  <c r="E53" i="1"/>
  <c r="D55" i="1" l="1"/>
  <c r="A54" i="1"/>
  <c r="B54" i="1" s="1"/>
  <c r="K3" i="16"/>
  <c r="A21" i="16" s="1"/>
  <c r="I2" i="16"/>
  <c r="L57" i="16"/>
  <c r="K8" i="16"/>
  <c r="A26" i="16" s="1"/>
  <c r="K4" i="16"/>
  <c r="A22" i="16" s="1"/>
  <c r="L59" i="16"/>
  <c r="K7" i="16"/>
  <c r="K6" i="16"/>
  <c r="L58" i="16"/>
  <c r="I5" i="16"/>
  <c r="A23" i="16"/>
  <c r="N54" i="1"/>
  <c r="K54" i="1"/>
  <c r="H54" i="1"/>
  <c r="E54" i="1"/>
  <c r="D56" i="1" l="1"/>
  <c r="A55" i="1"/>
  <c r="B55" i="1" s="1"/>
  <c r="I3" i="16"/>
  <c r="I8" i="16"/>
  <c r="I4" i="16"/>
  <c r="A24" i="16"/>
  <c r="I6" i="16"/>
  <c r="A27" i="16"/>
  <c r="I7" i="16"/>
  <c r="A25" i="16"/>
  <c r="N3" i="13"/>
  <c r="N4" i="13" s="1"/>
  <c r="N5" i="13" s="1"/>
  <c r="N6" i="13" s="1"/>
  <c r="N7" i="13" s="1"/>
  <c r="F2" i="11"/>
  <c r="H2" i="11"/>
  <c r="N55" i="1"/>
  <c r="K55" i="1"/>
  <c r="H55" i="1"/>
  <c r="E55" i="1"/>
  <c r="D57" i="1" l="1"/>
  <c r="A56" i="1"/>
  <c r="B56" i="1" s="1"/>
  <c r="K2" i="11"/>
  <c r="D5" i="14"/>
  <c r="N56" i="1"/>
  <c r="K56" i="1"/>
  <c r="H56" i="1"/>
  <c r="E56" i="1"/>
  <c r="D58" i="1" l="1"/>
  <c r="A57" i="1"/>
  <c r="B57" i="1" s="1"/>
  <c r="D6" i="14"/>
  <c r="N57" i="1"/>
  <c r="K57" i="1"/>
  <c r="H57" i="1"/>
  <c r="E57" i="1"/>
  <c r="D59" i="1" l="1"/>
  <c r="A58" i="1"/>
  <c r="B58" i="1" s="1"/>
  <c r="D7" i="14"/>
  <c r="N58" i="1"/>
  <c r="K58" i="1"/>
  <c r="H58" i="1"/>
  <c r="E58" i="1"/>
  <c r="A59" i="1" l="1"/>
  <c r="B59" i="1" s="1"/>
  <c r="D8" i="14"/>
  <c r="N59" i="1"/>
  <c r="K59" i="1"/>
  <c r="H59" i="1"/>
  <c r="E59" i="1"/>
  <c r="M6" i="1" l="1" a="1"/>
  <c r="P6" i="1" l="1" a="1"/>
  <c r="P9" i="1" s="1"/>
  <c r="T9" i="1" s="1"/>
  <c r="J6" i="1" a="1"/>
  <c r="J53" i="1" s="1"/>
  <c r="R53" i="1" s="1"/>
  <c r="G6" i="1" a="1"/>
  <c r="G36" i="1" s="1"/>
  <c r="Q36" i="1" s="1"/>
  <c r="M52" i="1"/>
  <c r="S52" i="1" s="1"/>
  <c r="M44" i="1"/>
  <c r="S44" i="1" s="1"/>
  <c r="M36" i="1"/>
  <c r="S36" i="1" s="1"/>
  <c r="M28" i="1"/>
  <c r="S28" i="1" s="1"/>
  <c r="M20" i="1"/>
  <c r="S20" i="1" s="1"/>
  <c r="M12" i="1"/>
  <c r="S12" i="1" s="1"/>
  <c r="M59" i="1"/>
  <c r="S59" i="1" s="1"/>
  <c r="M51" i="1"/>
  <c r="S51" i="1" s="1"/>
  <c r="M43" i="1"/>
  <c r="S43" i="1" s="1"/>
  <c r="M35" i="1"/>
  <c r="S35" i="1" s="1"/>
  <c r="M27" i="1"/>
  <c r="S27" i="1" s="1"/>
  <c r="M19" i="1"/>
  <c r="S19" i="1" s="1"/>
  <c r="M11" i="1"/>
  <c r="S11" i="1" s="1"/>
  <c r="M58" i="1"/>
  <c r="S58" i="1" s="1"/>
  <c r="M50" i="1"/>
  <c r="S50" i="1" s="1"/>
  <c r="M42" i="1"/>
  <c r="S42" i="1" s="1"/>
  <c r="M34" i="1"/>
  <c r="S34" i="1" s="1"/>
  <c r="M26" i="1"/>
  <c r="S26" i="1" s="1"/>
  <c r="M18" i="1"/>
  <c r="S18" i="1" s="1"/>
  <c r="M10" i="1"/>
  <c r="S10" i="1" s="1"/>
  <c r="M57" i="1"/>
  <c r="S57" i="1" s="1"/>
  <c r="M49" i="1"/>
  <c r="S49" i="1" s="1"/>
  <c r="M41" i="1"/>
  <c r="S41" i="1" s="1"/>
  <c r="M33" i="1"/>
  <c r="S33" i="1" s="1"/>
  <c r="M17" i="1"/>
  <c r="S17" i="1" s="1"/>
  <c r="M9" i="1"/>
  <c r="S9" i="1" s="1"/>
  <c r="M39" i="1"/>
  <c r="S39" i="1" s="1"/>
  <c r="M23" i="1"/>
  <c r="S23" i="1" s="1"/>
  <c r="M7" i="1"/>
  <c r="S7" i="1" s="1"/>
  <c r="M46" i="1"/>
  <c r="S46" i="1" s="1"/>
  <c r="M38" i="1"/>
  <c r="S38" i="1" s="1"/>
  <c r="M22" i="1"/>
  <c r="S22" i="1" s="1"/>
  <c r="M6" i="1"/>
  <c r="S6" i="1" s="1"/>
  <c r="M37" i="1"/>
  <c r="S37" i="1" s="1"/>
  <c r="M25" i="1"/>
  <c r="S25" i="1" s="1"/>
  <c r="M53" i="1"/>
  <c r="S53" i="1" s="1"/>
  <c r="M45" i="1"/>
  <c r="S45" i="1" s="1"/>
  <c r="M21" i="1"/>
  <c r="S21" i="1" s="1"/>
  <c r="M56" i="1"/>
  <c r="S56" i="1" s="1"/>
  <c r="M48" i="1"/>
  <c r="S48" i="1" s="1"/>
  <c r="M40" i="1"/>
  <c r="S40" i="1" s="1"/>
  <c r="M32" i="1"/>
  <c r="S32" i="1" s="1"/>
  <c r="M24" i="1"/>
  <c r="S24" i="1" s="1"/>
  <c r="M16" i="1"/>
  <c r="S16" i="1" s="1"/>
  <c r="M8" i="1"/>
  <c r="S8" i="1" s="1"/>
  <c r="M55" i="1"/>
  <c r="S55" i="1" s="1"/>
  <c r="M47" i="1"/>
  <c r="S47" i="1" s="1"/>
  <c r="M31" i="1"/>
  <c r="S31" i="1" s="1"/>
  <c r="M15" i="1"/>
  <c r="S15" i="1" s="1"/>
  <c r="M54" i="1"/>
  <c r="S54" i="1" s="1"/>
  <c r="M30" i="1"/>
  <c r="S30" i="1" s="1"/>
  <c r="M14" i="1"/>
  <c r="S14" i="1" s="1"/>
  <c r="M29" i="1"/>
  <c r="S29" i="1" s="1"/>
  <c r="M13" i="1"/>
  <c r="S13" i="1" s="1"/>
  <c r="P18" i="1" l="1"/>
  <c r="T18" i="1" s="1"/>
  <c r="P26" i="1"/>
  <c r="T26" i="1" s="1"/>
  <c r="P52" i="1"/>
  <c r="T52" i="1" s="1"/>
  <c r="P14" i="1"/>
  <c r="T14" i="1" s="1"/>
  <c r="P49" i="1"/>
  <c r="T49" i="1" s="1"/>
  <c r="G13" i="1"/>
  <c r="Q13" i="1" s="1"/>
  <c r="G41" i="1"/>
  <c r="Q41" i="1" s="1"/>
  <c r="G11" i="1"/>
  <c r="Q11" i="1" s="1"/>
  <c r="G46" i="1"/>
  <c r="Q46" i="1" s="1"/>
  <c r="J10" i="1"/>
  <c r="R10" i="1" s="1"/>
  <c r="J35" i="1"/>
  <c r="R35" i="1" s="1"/>
  <c r="J22" i="1"/>
  <c r="R22" i="1" s="1"/>
  <c r="J17" i="1"/>
  <c r="R17" i="1" s="1"/>
  <c r="P34" i="1"/>
  <c r="T34" i="1" s="1"/>
  <c r="P42" i="1"/>
  <c r="T42" i="1" s="1"/>
  <c r="P21" i="1"/>
  <c r="T21" i="1" s="1"/>
  <c r="P22" i="1"/>
  <c r="T22" i="1" s="1"/>
  <c r="P8" i="1"/>
  <c r="T8" i="1" s="1"/>
  <c r="P57" i="1"/>
  <c r="T57" i="1" s="1"/>
  <c r="G24" i="1"/>
  <c r="Q24" i="1" s="1"/>
  <c r="G19" i="1"/>
  <c r="Q19" i="1" s="1"/>
  <c r="J18" i="1"/>
  <c r="R18" i="1" s="1"/>
  <c r="J30" i="1"/>
  <c r="R30" i="1" s="1"/>
  <c r="J55" i="1"/>
  <c r="R55" i="1" s="1"/>
  <c r="G22" i="1"/>
  <c r="Q22" i="1" s="1"/>
  <c r="G32" i="1"/>
  <c r="Q32" i="1" s="1"/>
  <c r="G57" i="1"/>
  <c r="Q57" i="1" s="1"/>
  <c r="G43" i="1"/>
  <c r="Q43" i="1" s="1"/>
  <c r="G23" i="1"/>
  <c r="Q23" i="1" s="1"/>
  <c r="J26" i="1"/>
  <c r="R26" i="1" s="1"/>
  <c r="J12" i="1"/>
  <c r="R12" i="1" s="1"/>
  <c r="J38" i="1"/>
  <c r="R38" i="1" s="1"/>
  <c r="J8" i="1"/>
  <c r="R8" i="1" s="1"/>
  <c r="J49" i="1"/>
  <c r="R49" i="1" s="1"/>
  <c r="P11" i="1"/>
  <c r="T11" i="1" s="1"/>
  <c r="P19" i="1"/>
  <c r="T19" i="1" s="1"/>
  <c r="P48" i="1"/>
  <c r="T48" i="1" s="1"/>
  <c r="P38" i="1"/>
  <c r="T38" i="1" s="1"/>
  <c r="P24" i="1"/>
  <c r="T24" i="1" s="1"/>
  <c r="G38" i="1"/>
  <c r="Q38" i="1" s="1"/>
  <c r="G40" i="1"/>
  <c r="Q40" i="1" s="1"/>
  <c r="G10" i="1"/>
  <c r="Q10" i="1" s="1"/>
  <c r="G51" i="1"/>
  <c r="Q51" i="1" s="1"/>
  <c r="G47" i="1"/>
  <c r="Q47" i="1" s="1"/>
  <c r="J34" i="1"/>
  <c r="R34" i="1" s="1"/>
  <c r="J20" i="1"/>
  <c r="R20" i="1" s="1"/>
  <c r="J46" i="1"/>
  <c r="R46" i="1" s="1"/>
  <c r="J16" i="1"/>
  <c r="R16" i="1" s="1"/>
  <c r="J57" i="1"/>
  <c r="R57" i="1" s="1"/>
  <c r="P35" i="1"/>
  <c r="T35" i="1" s="1"/>
  <c r="P12" i="1"/>
  <c r="T12" i="1" s="1"/>
  <c r="P56" i="1"/>
  <c r="T56" i="1" s="1"/>
  <c r="P46" i="1"/>
  <c r="T46" i="1" s="1"/>
  <c r="P17" i="1"/>
  <c r="T17" i="1" s="1"/>
  <c r="G54" i="1"/>
  <c r="Q54" i="1" s="1"/>
  <c r="G48" i="1"/>
  <c r="Q48" i="1" s="1"/>
  <c r="G34" i="1"/>
  <c r="Q34" i="1" s="1"/>
  <c r="G59" i="1"/>
  <c r="Q59" i="1" s="1"/>
  <c r="G12" i="1"/>
  <c r="Q12" i="1" s="1"/>
  <c r="J58" i="1"/>
  <c r="R58" i="1" s="1"/>
  <c r="J28" i="1"/>
  <c r="R28" i="1" s="1"/>
  <c r="J54" i="1"/>
  <c r="R54" i="1" s="1"/>
  <c r="J40" i="1"/>
  <c r="R40" i="1" s="1"/>
  <c r="J13" i="1"/>
  <c r="R13" i="1" s="1"/>
  <c r="P47" i="1"/>
  <c r="T47" i="1" s="1"/>
  <c r="G16" i="1"/>
  <c r="Q16" i="1" s="1"/>
  <c r="J47" i="1"/>
  <c r="R47" i="1" s="1"/>
  <c r="G29" i="1"/>
  <c r="Q29" i="1" s="1"/>
  <c r="G49" i="1"/>
  <c r="Q49" i="1" s="1"/>
  <c r="G7" i="1"/>
  <c r="Q7" i="1" s="1"/>
  <c r="J43" i="1"/>
  <c r="R43" i="1" s="1"/>
  <c r="J25" i="1"/>
  <c r="R25" i="1" s="1"/>
  <c r="P50" i="1"/>
  <c r="T50" i="1" s="1"/>
  <c r="P58" i="1"/>
  <c r="T58" i="1" s="1"/>
  <c r="P32" i="1"/>
  <c r="T32" i="1" s="1"/>
  <c r="P30" i="1"/>
  <c r="T30" i="1" s="1"/>
  <c r="P16" i="1"/>
  <c r="T16" i="1" s="1"/>
  <c r="P51" i="1"/>
  <c r="T51" i="1" s="1"/>
  <c r="P28" i="1"/>
  <c r="T28" i="1" s="1"/>
  <c r="P13" i="1"/>
  <c r="T13" i="1" s="1"/>
  <c r="P54" i="1"/>
  <c r="T54" i="1" s="1"/>
  <c r="P25" i="1"/>
  <c r="T25" i="1" s="1"/>
  <c r="G15" i="1"/>
  <c r="Q15" i="1" s="1"/>
  <c r="G56" i="1"/>
  <c r="Q56" i="1" s="1"/>
  <c r="G42" i="1"/>
  <c r="Q42" i="1" s="1"/>
  <c r="G21" i="1"/>
  <c r="Q21" i="1" s="1"/>
  <c r="G20" i="1"/>
  <c r="Q20" i="1" s="1"/>
  <c r="J11" i="1"/>
  <c r="R11" i="1" s="1"/>
  <c r="J36" i="1"/>
  <c r="R36" i="1" s="1"/>
  <c r="J7" i="1"/>
  <c r="R7" i="1" s="1"/>
  <c r="J48" i="1"/>
  <c r="R48" i="1" s="1"/>
  <c r="J21" i="1"/>
  <c r="R21" i="1" s="1"/>
  <c r="P53" i="1"/>
  <c r="T53" i="1" s="1"/>
  <c r="P36" i="1"/>
  <c r="T36" i="1" s="1"/>
  <c r="P29" i="1"/>
  <c r="T29" i="1" s="1"/>
  <c r="P31" i="1"/>
  <c r="T31" i="1" s="1"/>
  <c r="P33" i="1"/>
  <c r="T33" i="1" s="1"/>
  <c r="G31" i="1"/>
  <c r="Q31" i="1" s="1"/>
  <c r="G25" i="1"/>
  <c r="Q25" i="1" s="1"/>
  <c r="G50" i="1"/>
  <c r="Q50" i="1" s="1"/>
  <c r="G37" i="1"/>
  <c r="Q37" i="1" s="1"/>
  <c r="G44" i="1"/>
  <c r="Q44" i="1" s="1"/>
  <c r="J19" i="1"/>
  <c r="R19" i="1" s="1"/>
  <c r="J44" i="1"/>
  <c r="R44" i="1" s="1"/>
  <c r="J31" i="1"/>
  <c r="R31" i="1" s="1"/>
  <c r="J56" i="1"/>
  <c r="R56" i="1" s="1"/>
  <c r="J29" i="1"/>
  <c r="R29" i="1" s="1"/>
  <c r="P10" i="1"/>
  <c r="T10" i="1" s="1"/>
  <c r="P44" i="1"/>
  <c r="T44" i="1" s="1"/>
  <c r="P37" i="1"/>
  <c r="T37" i="1" s="1"/>
  <c r="P39" i="1"/>
  <c r="T39" i="1" s="1"/>
  <c r="P41" i="1"/>
  <c r="T41" i="1" s="1"/>
  <c r="G39" i="1"/>
  <c r="Q39" i="1" s="1"/>
  <c r="G33" i="1"/>
  <c r="Q33" i="1" s="1"/>
  <c r="G58" i="1"/>
  <c r="Q58" i="1" s="1"/>
  <c r="G53" i="1"/>
  <c r="Q53" i="1" s="1"/>
  <c r="G52" i="1"/>
  <c r="Q52" i="1" s="1"/>
  <c r="J27" i="1"/>
  <c r="R27" i="1" s="1"/>
  <c r="J52" i="1"/>
  <c r="R52" i="1" s="1"/>
  <c r="J39" i="1"/>
  <c r="R39" i="1" s="1"/>
  <c r="J9" i="1"/>
  <c r="R9" i="1" s="1"/>
  <c r="J37" i="1"/>
  <c r="R37" i="1" s="1"/>
  <c r="P59" i="1"/>
  <c r="T59" i="1" s="1"/>
  <c r="P27" i="1"/>
  <c r="T27" i="1" s="1"/>
  <c r="P23" i="1"/>
  <c r="T23" i="1" s="1"/>
  <c r="P45" i="1"/>
  <c r="T45" i="1" s="1"/>
  <c r="P7" i="1"/>
  <c r="T7" i="1" s="1"/>
  <c r="P40" i="1"/>
  <c r="T40" i="1" s="1"/>
  <c r="G45" i="1"/>
  <c r="Q45" i="1" s="1"/>
  <c r="G55" i="1"/>
  <c r="Q55" i="1" s="1"/>
  <c r="G9" i="1"/>
  <c r="Q9" i="1" s="1"/>
  <c r="G18" i="1"/>
  <c r="Q18" i="1" s="1"/>
  <c r="G27" i="1"/>
  <c r="Q27" i="1" s="1"/>
  <c r="G14" i="1"/>
  <c r="Q14" i="1" s="1"/>
  <c r="G28" i="1"/>
  <c r="Q28" i="1" s="1"/>
  <c r="J42" i="1"/>
  <c r="R42" i="1" s="1"/>
  <c r="J51" i="1"/>
  <c r="R51" i="1" s="1"/>
  <c r="J6" i="1"/>
  <c r="R6" i="1" s="1"/>
  <c r="J15" i="1"/>
  <c r="R15" i="1" s="1"/>
  <c r="J24" i="1"/>
  <c r="R24" i="1" s="1"/>
  <c r="J33" i="1"/>
  <c r="R33" i="1" s="1"/>
  <c r="J45" i="1"/>
  <c r="R45" i="1" s="1"/>
  <c r="P20" i="1"/>
  <c r="T20" i="1" s="1"/>
  <c r="P43" i="1"/>
  <c r="T43" i="1" s="1"/>
  <c r="P55" i="1"/>
  <c r="T55" i="1" s="1"/>
  <c r="P6" i="1"/>
  <c r="T6" i="1" s="1"/>
  <c r="P15" i="1"/>
  <c r="T15" i="1" s="1"/>
  <c r="G6" i="1"/>
  <c r="Q6" i="1" s="1"/>
  <c r="G8" i="1"/>
  <c r="Q8" i="1" s="1"/>
  <c r="G17" i="1"/>
  <c r="Q17" i="1" s="1"/>
  <c r="G26" i="1"/>
  <c r="Q26" i="1" s="1"/>
  <c r="G35" i="1"/>
  <c r="Q35" i="1" s="1"/>
  <c r="G30" i="1"/>
  <c r="Q30" i="1" s="1"/>
  <c r="J50" i="1"/>
  <c r="R50" i="1" s="1"/>
  <c r="J59" i="1"/>
  <c r="R59" i="1" s="1"/>
  <c r="J14" i="1"/>
  <c r="R14" i="1" s="1"/>
  <c r="J23" i="1"/>
  <c r="R23" i="1" s="1"/>
  <c r="J32" i="1"/>
  <c r="R32" i="1" s="1"/>
  <c r="J41" i="1"/>
  <c r="R41" i="1" s="1"/>
  <c r="S2" i="1"/>
  <c r="R2" i="1" l="1"/>
  <c r="Q2" i="1"/>
  <c r="AM21" i="1" s="1"/>
  <c r="T2" i="1"/>
  <c r="N1" i="15" l="1" a="1"/>
  <c r="L2" i="11"/>
  <c r="E5" i="15"/>
  <c r="B19" i="15" s="1" a="1"/>
  <c r="H48" i="13"/>
  <c r="F48" i="13"/>
  <c r="H47" i="13"/>
  <c r="F47" i="13"/>
  <c r="H46" i="13"/>
  <c r="F46" i="13"/>
  <c r="H45" i="13"/>
  <c r="F45" i="13"/>
  <c r="H44" i="13"/>
  <c r="F44" i="13"/>
  <c r="H43" i="13"/>
  <c r="F43" i="13"/>
  <c r="H42" i="13"/>
  <c r="F42" i="13"/>
  <c r="H41" i="13"/>
  <c r="F41" i="13"/>
  <c r="H40" i="13"/>
  <c r="F40" i="13"/>
  <c r="H39" i="13"/>
  <c r="F39" i="13"/>
  <c r="H38" i="13"/>
  <c r="F38" i="13"/>
  <c r="B21" i="15" l="1"/>
  <c r="D23" i="15"/>
  <c r="C26" i="15"/>
  <c r="B29" i="15"/>
  <c r="D31" i="15"/>
  <c r="C34" i="15"/>
  <c r="C21" i="15"/>
  <c r="B24" i="15"/>
  <c r="D26" i="15"/>
  <c r="C29" i="15"/>
  <c r="B32" i="15"/>
  <c r="D34" i="15"/>
  <c r="C19" i="15"/>
  <c r="B22" i="15"/>
  <c r="D24" i="15"/>
  <c r="C27" i="15"/>
  <c r="B30" i="15"/>
  <c r="D32" i="15"/>
  <c r="C35" i="15"/>
  <c r="D19" i="15"/>
  <c r="C22" i="15"/>
  <c r="B25" i="15"/>
  <c r="D27" i="15"/>
  <c r="C30" i="15"/>
  <c r="B33" i="15"/>
  <c r="D35" i="15"/>
  <c r="B19" i="15"/>
  <c r="D21" i="15"/>
  <c r="C24" i="15"/>
  <c r="B27" i="15"/>
  <c r="D29" i="15"/>
  <c r="C32" i="15"/>
  <c r="B35" i="15"/>
  <c r="D20" i="15"/>
  <c r="C23" i="15"/>
  <c r="B26" i="15"/>
  <c r="D28" i="15"/>
  <c r="C31" i="15"/>
  <c r="B34" i="15"/>
  <c r="D36" i="15"/>
  <c r="B20" i="15"/>
  <c r="D22" i="15"/>
  <c r="C25" i="15"/>
  <c r="B28" i="15"/>
  <c r="D30" i="15"/>
  <c r="C33" i="15"/>
  <c r="B36" i="15"/>
  <c r="C20" i="15"/>
  <c r="B23" i="15"/>
  <c r="D25" i="15"/>
  <c r="C28" i="15"/>
  <c r="B31" i="15"/>
  <c r="D33" i="15"/>
  <c r="C36" i="15"/>
  <c r="N19" i="15" a="1"/>
  <c r="N2" i="15"/>
  <c r="O2" i="15"/>
  <c r="P2" i="15"/>
  <c r="Q2" i="15"/>
  <c r="P1" i="15"/>
  <c r="Q1" i="15"/>
  <c r="N1" i="15"/>
  <c r="O1" i="15"/>
  <c r="N15" i="15"/>
  <c r="N4" i="15"/>
  <c r="O4" i="15"/>
  <c r="P4" i="15"/>
  <c r="Q4" i="15"/>
  <c r="P3" i="15"/>
  <c r="Q3" i="15"/>
  <c r="N3" i="15"/>
  <c r="O3" i="15"/>
  <c r="N12" i="15"/>
  <c r="Q12" i="15"/>
  <c r="N11" i="15"/>
  <c r="Q14" i="15"/>
  <c r="N13" i="15"/>
  <c r="P16" i="15"/>
  <c r="P15" i="15"/>
  <c r="O15" i="15"/>
  <c r="N6" i="15"/>
  <c r="O6" i="15"/>
  <c r="P6" i="15"/>
  <c r="Q6" i="15"/>
  <c r="P5" i="15"/>
  <c r="Q5" i="15"/>
  <c r="N5" i="15"/>
  <c r="O5" i="15"/>
  <c r="O10" i="15"/>
  <c r="P9" i="15"/>
  <c r="O9" i="15"/>
  <c r="P12" i="15"/>
  <c r="P11" i="15"/>
  <c r="N14" i="15"/>
  <c r="P14" i="15"/>
  <c r="Q13" i="15"/>
  <c r="O13" i="15"/>
  <c r="O16" i="15"/>
  <c r="Q15" i="15"/>
  <c r="N8" i="15"/>
  <c r="O8" i="15"/>
  <c r="P8" i="15"/>
  <c r="Q8" i="15"/>
  <c r="P7" i="15"/>
  <c r="Q7" i="15"/>
  <c r="N7" i="15"/>
  <c r="O7" i="15"/>
  <c r="N10" i="15"/>
  <c r="P10" i="15"/>
  <c r="Q10" i="15"/>
  <c r="Q9" i="15"/>
  <c r="N9" i="15"/>
  <c r="O12" i="15"/>
  <c r="Q11" i="15"/>
  <c r="O11" i="15"/>
  <c r="O14" i="15"/>
  <c r="P13" i="15"/>
  <c r="N16" i="15"/>
  <c r="Q16" i="15"/>
  <c r="K38" i="13"/>
  <c r="K44" i="13"/>
  <c r="K48" i="13"/>
  <c r="K40" i="13"/>
  <c r="K46" i="13"/>
  <c r="K42" i="13"/>
  <c r="K39" i="13"/>
  <c r="K41" i="13"/>
  <c r="K43" i="13"/>
  <c r="K45" i="13"/>
  <c r="K47" i="13"/>
  <c r="C18" i="15" l="1"/>
  <c r="U19" i="15"/>
  <c r="U20" i="15"/>
  <c r="U21" i="15"/>
  <c r="U22" i="15"/>
  <c r="U23" i="15"/>
  <c r="U24" i="15"/>
  <c r="U25" i="15"/>
  <c r="U26" i="15"/>
  <c r="U27" i="15"/>
  <c r="U28" i="15"/>
  <c r="U29" i="15"/>
  <c r="U30" i="15"/>
  <c r="U31" i="15"/>
  <c r="U32" i="15"/>
  <c r="U33" i="15"/>
  <c r="U34" i="15"/>
  <c r="U35" i="15"/>
  <c r="U36" i="15"/>
  <c r="U37" i="15"/>
  <c r="U38" i="15"/>
  <c r="U39" i="15"/>
  <c r="P19" i="15"/>
  <c r="P20" i="15"/>
  <c r="P21" i="15"/>
  <c r="P22" i="15"/>
  <c r="P23" i="15"/>
  <c r="P24" i="15"/>
  <c r="P25" i="15"/>
  <c r="P26" i="15"/>
  <c r="P27" i="15"/>
  <c r="P28" i="15"/>
  <c r="P29" i="15"/>
  <c r="P30" i="15"/>
  <c r="P31" i="15"/>
  <c r="P32" i="15"/>
  <c r="P33" i="15"/>
  <c r="P34" i="15"/>
  <c r="P35" i="15"/>
  <c r="P36" i="15"/>
  <c r="P37" i="15"/>
  <c r="P38" i="15"/>
  <c r="P39" i="15"/>
  <c r="Q19" i="15"/>
  <c r="Q20" i="15"/>
  <c r="Q21" i="15"/>
  <c r="Q22" i="15"/>
  <c r="Q23" i="15"/>
  <c r="Q24" i="15"/>
  <c r="Q25" i="15"/>
  <c r="Q26" i="15"/>
  <c r="Q27" i="15"/>
  <c r="Q28" i="15"/>
  <c r="Q29" i="15"/>
  <c r="Q30" i="15"/>
  <c r="Q31" i="15"/>
  <c r="Q32" i="15"/>
  <c r="Q33" i="15"/>
  <c r="Q34" i="15"/>
  <c r="Q35" i="15"/>
  <c r="Q36" i="15"/>
  <c r="Q37" i="15"/>
  <c r="Q38" i="15"/>
  <c r="Q39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O19" i="15"/>
  <c r="O20" i="15"/>
  <c r="O21" i="15"/>
  <c r="O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R20" i="15"/>
  <c r="T22" i="15"/>
  <c r="S25" i="15"/>
  <c r="R28" i="15"/>
  <c r="T30" i="15"/>
  <c r="S33" i="15"/>
  <c r="R36" i="15"/>
  <c r="T38" i="15"/>
  <c r="S20" i="15"/>
  <c r="R23" i="15"/>
  <c r="T25" i="15"/>
  <c r="S28" i="15"/>
  <c r="R31" i="15"/>
  <c r="T33" i="15"/>
  <c r="S36" i="15"/>
  <c r="R39" i="15"/>
  <c r="T20" i="15"/>
  <c r="S23" i="15"/>
  <c r="R26" i="15"/>
  <c r="T28" i="15"/>
  <c r="S31" i="15"/>
  <c r="R34" i="15"/>
  <c r="T36" i="15"/>
  <c r="S39" i="15"/>
  <c r="S32" i="15"/>
  <c r="R22" i="15"/>
  <c r="R30" i="15"/>
  <c r="T19" i="15"/>
  <c r="T27" i="15"/>
  <c r="T35" i="15"/>
  <c r="S22" i="15"/>
  <c r="R21" i="15"/>
  <c r="T23" i="15"/>
  <c r="S26" i="15"/>
  <c r="R29" i="15"/>
  <c r="T31" i="15"/>
  <c r="S34" i="15"/>
  <c r="R37" i="15"/>
  <c r="T39" i="15"/>
  <c r="S29" i="15"/>
  <c r="S37" i="15"/>
  <c r="R19" i="15"/>
  <c r="T21" i="15"/>
  <c r="S24" i="15"/>
  <c r="T29" i="15"/>
  <c r="R35" i="15"/>
  <c r="T37" i="15"/>
  <c r="T24" i="15"/>
  <c r="T32" i="15"/>
  <c r="R38" i="15"/>
  <c r="S30" i="15"/>
  <c r="S38" i="15"/>
  <c r="S21" i="15"/>
  <c r="R24" i="15"/>
  <c r="T26" i="15"/>
  <c r="R32" i="15"/>
  <c r="T34" i="15"/>
  <c r="R27" i="15"/>
  <c r="S19" i="15"/>
  <c r="S27" i="15"/>
  <c r="S35" i="15"/>
  <c r="R33" i="15"/>
  <c r="R25" i="15"/>
  <c r="J10" i="15"/>
  <c r="J11" i="15"/>
  <c r="J9" i="15"/>
  <c r="C51" i="11"/>
  <c r="F51" i="11"/>
  <c r="H51" i="11"/>
  <c r="C42" i="11"/>
  <c r="F42" i="11"/>
  <c r="H42" i="11"/>
  <c r="C43" i="11"/>
  <c r="F43" i="11"/>
  <c r="H43" i="11"/>
  <c r="C44" i="11"/>
  <c r="F44" i="11"/>
  <c r="H44" i="11"/>
  <c r="C45" i="11"/>
  <c r="F45" i="11"/>
  <c r="H45" i="11"/>
  <c r="C46" i="11"/>
  <c r="F46" i="11"/>
  <c r="H46" i="11"/>
  <c r="C47" i="11"/>
  <c r="F47" i="11"/>
  <c r="H47" i="11"/>
  <c r="C48" i="11"/>
  <c r="F48" i="11"/>
  <c r="H48" i="11"/>
  <c r="C49" i="11"/>
  <c r="F49" i="11"/>
  <c r="H49" i="11"/>
  <c r="C50" i="11"/>
  <c r="F50" i="11"/>
  <c r="H50" i="11"/>
  <c r="C41" i="11"/>
  <c r="O48" i="11" l="1"/>
  <c r="O45" i="11"/>
  <c r="O47" i="11"/>
  <c r="O50" i="11"/>
  <c r="O46" i="11"/>
  <c r="K42" i="11"/>
  <c r="O43" i="11"/>
  <c r="K50" i="11"/>
  <c r="K48" i="11"/>
  <c r="K46" i="11"/>
  <c r="K44" i="11"/>
  <c r="O42" i="11"/>
  <c r="O49" i="11"/>
  <c r="K45" i="11"/>
  <c r="K49" i="11"/>
  <c r="K47" i="11"/>
  <c r="K43" i="11"/>
  <c r="K51" i="11"/>
  <c r="O51" i="11"/>
  <c r="O44" i="11"/>
  <c r="H41" i="11" l="1"/>
  <c r="F41" i="11"/>
  <c r="K41" i="11" l="1"/>
  <c r="O41" i="11"/>
  <c r="F33" i="13" l="1"/>
  <c r="H33" i="13"/>
  <c r="F24" i="13"/>
  <c r="H24" i="13"/>
  <c r="F25" i="13"/>
  <c r="H25" i="13"/>
  <c r="F26" i="13"/>
  <c r="H26" i="13"/>
  <c r="F27" i="13"/>
  <c r="H27" i="13"/>
  <c r="F28" i="13"/>
  <c r="H28" i="13"/>
  <c r="F29" i="13"/>
  <c r="H29" i="13"/>
  <c r="K29" i="13"/>
  <c r="F30" i="13"/>
  <c r="H30" i="13"/>
  <c r="F31" i="13"/>
  <c r="H31" i="13"/>
  <c r="F32" i="13"/>
  <c r="H32" i="13"/>
  <c r="H23" i="13"/>
  <c r="F23" i="13"/>
  <c r="K23" i="13" s="1"/>
  <c r="H22" i="13"/>
  <c r="F22" i="13"/>
  <c r="K33" i="13" l="1"/>
  <c r="K22" i="13"/>
  <c r="K28" i="13"/>
  <c r="K32" i="13"/>
  <c r="K30" i="13"/>
  <c r="K26" i="13"/>
  <c r="K24" i="13"/>
  <c r="K31" i="13"/>
  <c r="K25" i="13"/>
  <c r="K27" i="13"/>
  <c r="H20" i="13"/>
  <c r="F20" i="13"/>
  <c r="H19" i="13"/>
  <c r="F19" i="13"/>
  <c r="O20" i="13" l="1"/>
  <c r="K20" i="13"/>
  <c r="K19" i="13"/>
  <c r="O19" i="13"/>
  <c r="E3" i="17" l="1"/>
  <c r="F3" i="17" s="1"/>
  <c r="E5" i="17" l="1"/>
  <c r="F5" i="17" s="1"/>
  <c r="E7" i="17" l="1"/>
  <c r="F7" i="17" s="1"/>
  <c r="E2" i="17" l="1"/>
  <c r="F2" i="17" s="1"/>
  <c r="E4" i="17"/>
  <c r="F4" i="17" s="1"/>
  <c r="E9" i="17"/>
  <c r="F9" i="17" s="1"/>
  <c r="E6" i="17" l="1"/>
  <c r="F6" i="17" s="1"/>
  <c r="E11" i="17"/>
  <c r="F11" i="17" s="1"/>
  <c r="E8" i="17" l="1"/>
  <c r="F8" i="17" s="1"/>
  <c r="E13" i="17"/>
  <c r="F13" i="17" s="1"/>
  <c r="E10" i="17"/>
  <c r="F10" i="17" s="1"/>
  <c r="E12" i="17" l="1"/>
  <c r="F12" i="17" s="1"/>
  <c r="H17" i="13" l="1"/>
  <c r="F17" i="13"/>
  <c r="K17" i="13" s="1"/>
  <c r="C17" i="13"/>
  <c r="H16" i="13" l="1"/>
  <c r="F16" i="13"/>
  <c r="C16" i="13"/>
  <c r="K16" i="13" l="1"/>
  <c r="H15" i="13"/>
  <c r="F15" i="13"/>
  <c r="C15" i="13"/>
  <c r="H14" i="13"/>
  <c r="F14" i="13"/>
  <c r="C14" i="13"/>
  <c r="H13" i="13"/>
  <c r="F13" i="13"/>
  <c r="H12" i="13"/>
  <c r="F12" i="13"/>
  <c r="H11" i="13"/>
  <c r="F11" i="13"/>
  <c r="H10" i="13"/>
  <c r="F10" i="13"/>
  <c r="H7" i="13"/>
  <c r="F7" i="13"/>
  <c r="H6" i="13"/>
  <c r="F6" i="13"/>
  <c r="H5" i="13"/>
  <c r="F5" i="13"/>
  <c r="H4" i="13"/>
  <c r="F4" i="13"/>
  <c r="H3" i="13"/>
  <c r="F3" i="13"/>
  <c r="H2" i="13"/>
  <c r="F2" i="13"/>
  <c r="O20" i="14"/>
  <c r="M20" i="14"/>
  <c r="L20" i="14"/>
  <c r="K20" i="14"/>
  <c r="I20" i="14"/>
  <c r="G20" i="14"/>
  <c r="E20" i="14"/>
  <c r="B20" i="14"/>
  <c r="A20" i="14"/>
  <c r="O19" i="14"/>
  <c r="M19" i="14"/>
  <c r="L19" i="14"/>
  <c r="K19" i="14"/>
  <c r="I19" i="14"/>
  <c r="G19" i="14"/>
  <c r="E19" i="14"/>
  <c r="B19" i="14"/>
  <c r="A19" i="14"/>
  <c r="O18" i="14"/>
  <c r="M18" i="14"/>
  <c r="L18" i="14"/>
  <c r="K18" i="14"/>
  <c r="I18" i="14"/>
  <c r="G18" i="14"/>
  <c r="E18" i="14"/>
  <c r="B18" i="14"/>
  <c r="A18" i="14"/>
  <c r="O17" i="14"/>
  <c r="M17" i="14"/>
  <c r="L17" i="14"/>
  <c r="K17" i="14"/>
  <c r="I17" i="14"/>
  <c r="G17" i="14"/>
  <c r="E17" i="14"/>
  <c r="B17" i="14"/>
  <c r="A17" i="14"/>
  <c r="O16" i="14"/>
  <c r="M16" i="14"/>
  <c r="L16" i="14"/>
  <c r="K16" i="14"/>
  <c r="I16" i="14"/>
  <c r="G16" i="14"/>
  <c r="E16" i="14"/>
  <c r="B16" i="14"/>
  <c r="A16" i="14"/>
  <c r="O15" i="14"/>
  <c r="M15" i="14"/>
  <c r="L15" i="14"/>
  <c r="K15" i="14"/>
  <c r="I15" i="14"/>
  <c r="G15" i="14"/>
  <c r="E15" i="14"/>
  <c r="B15" i="14"/>
  <c r="A15" i="14"/>
  <c r="O14" i="14"/>
  <c r="M14" i="14"/>
  <c r="L14" i="14"/>
  <c r="K14" i="14"/>
  <c r="I14" i="14"/>
  <c r="G14" i="14"/>
  <c r="E14" i="14"/>
  <c r="B14" i="14"/>
  <c r="A14" i="14"/>
  <c r="O13" i="14"/>
  <c r="M13" i="14"/>
  <c r="L13" i="14"/>
  <c r="K13" i="14"/>
  <c r="I13" i="14"/>
  <c r="G13" i="14"/>
  <c r="E13" i="14"/>
  <c r="B13" i="14"/>
  <c r="A13" i="14"/>
  <c r="M12" i="14"/>
  <c r="I12" i="14"/>
  <c r="G12" i="14"/>
  <c r="E12" i="14"/>
  <c r="B12" i="14"/>
  <c r="A12" i="14"/>
  <c r="M11" i="14"/>
  <c r="I11" i="14"/>
  <c r="G11" i="14"/>
  <c r="E11" i="14"/>
  <c r="B11" i="14"/>
  <c r="A11" i="14"/>
  <c r="M10" i="14"/>
  <c r="I10" i="14"/>
  <c r="G10" i="14"/>
  <c r="E10" i="14"/>
  <c r="B10" i="14"/>
  <c r="A10" i="14"/>
  <c r="M9" i="14"/>
  <c r="I9" i="14"/>
  <c r="G9" i="14"/>
  <c r="E9" i="14"/>
  <c r="B9" i="14"/>
  <c r="A9" i="14"/>
  <c r="M8" i="14"/>
  <c r="I8" i="14"/>
  <c r="G8" i="14"/>
  <c r="E8" i="14"/>
  <c r="B8" i="14"/>
  <c r="A8" i="14"/>
  <c r="M7" i="14"/>
  <c r="I7" i="14"/>
  <c r="G7" i="14"/>
  <c r="E7" i="14"/>
  <c r="B7" i="14"/>
  <c r="A7" i="14"/>
  <c r="M6" i="14"/>
  <c r="I6" i="14"/>
  <c r="G6" i="14"/>
  <c r="E6" i="14"/>
  <c r="B6" i="14"/>
  <c r="A6" i="14"/>
  <c r="M5" i="14"/>
  <c r="I5" i="14"/>
  <c r="G5" i="14"/>
  <c r="E5" i="14"/>
  <c r="B5" i="14"/>
  <c r="A5" i="14"/>
  <c r="M4" i="14"/>
  <c r="I4" i="14"/>
  <c r="G4" i="14"/>
  <c r="E4" i="14"/>
  <c r="D4" i="14"/>
  <c r="B4" i="14"/>
  <c r="A4" i="14"/>
  <c r="I3" i="14"/>
  <c r="G3" i="14"/>
  <c r="E3" i="14"/>
  <c r="D3" i="14"/>
  <c r="B3" i="14"/>
  <c r="A3" i="14"/>
  <c r="H2" i="14"/>
  <c r="F2" i="14"/>
  <c r="O10" i="14"/>
  <c r="K12" i="14"/>
  <c r="L12" i="14" s="1"/>
  <c r="K11" i="14"/>
  <c r="L11" i="14" s="1"/>
  <c r="K10" i="14"/>
  <c r="L10" i="14" s="1"/>
  <c r="O12" i="14"/>
  <c r="K9" i="14"/>
  <c r="L9" i="14" s="1"/>
  <c r="O11" i="14"/>
  <c r="K11" i="13" l="1"/>
  <c r="K3" i="13"/>
  <c r="K13" i="13"/>
  <c r="K6" i="13"/>
  <c r="K4" i="13"/>
  <c r="K10" i="13"/>
  <c r="K5" i="13"/>
  <c r="K7" i="13"/>
  <c r="K14" i="13"/>
  <c r="K2" i="13"/>
  <c r="K12" i="13"/>
  <c r="K15" i="13"/>
  <c r="H20" i="14"/>
  <c r="H18" i="14"/>
  <c r="H16" i="14"/>
  <c r="H14" i="14"/>
  <c r="H12" i="14"/>
  <c r="H10" i="14"/>
  <c r="H8" i="14"/>
  <c r="H6" i="14"/>
  <c r="H19" i="14"/>
  <c r="H17" i="14"/>
  <c r="H15" i="14"/>
  <c r="H13" i="14"/>
  <c r="H11" i="14"/>
  <c r="H9" i="14"/>
  <c r="H7" i="14"/>
  <c r="H5" i="14"/>
  <c r="H4" i="14"/>
  <c r="H3" i="14"/>
  <c r="F19" i="14"/>
  <c r="F17" i="14"/>
  <c r="F13" i="14"/>
  <c r="F11" i="14"/>
  <c r="F7" i="14"/>
  <c r="F20" i="14"/>
  <c r="F18" i="14"/>
  <c r="F16" i="14"/>
  <c r="F14" i="14"/>
  <c r="F12" i="14"/>
  <c r="F10" i="14"/>
  <c r="F8" i="14"/>
  <c r="F6" i="14"/>
  <c r="F15" i="14"/>
  <c r="F9" i="14"/>
  <c r="F5" i="14"/>
  <c r="F4" i="14"/>
  <c r="F3" i="14"/>
  <c r="J20" i="14"/>
  <c r="J18" i="14"/>
  <c r="J12" i="14"/>
  <c r="J10" i="14"/>
  <c r="J8" i="14"/>
  <c r="J6" i="14"/>
  <c r="J19" i="14"/>
  <c r="J17" i="14"/>
  <c r="J15" i="14"/>
  <c r="J13" i="14"/>
  <c r="J11" i="14"/>
  <c r="J9" i="14"/>
  <c r="J7" i="14"/>
  <c r="J5" i="14"/>
  <c r="J16" i="14"/>
  <c r="J14" i="14"/>
  <c r="J4" i="14"/>
  <c r="J3" i="14"/>
  <c r="H39" i="11"/>
  <c r="F39" i="11"/>
  <c r="H38" i="11"/>
  <c r="F38" i="11"/>
  <c r="H37" i="11"/>
  <c r="F37" i="11"/>
  <c r="H36" i="11"/>
  <c r="F36" i="11"/>
  <c r="H35" i="11"/>
  <c r="F35" i="11"/>
  <c r="H34" i="11"/>
  <c r="F34" i="11"/>
  <c r="H33" i="11"/>
  <c r="F33" i="11"/>
  <c r="H32" i="11"/>
  <c r="F32" i="11"/>
  <c r="H31" i="11"/>
  <c r="F31" i="11"/>
  <c r="H30" i="11"/>
  <c r="F30" i="11"/>
  <c r="H29" i="11"/>
  <c r="F29" i="11"/>
  <c r="H28" i="11"/>
  <c r="F28" i="11"/>
  <c r="H7" i="11"/>
  <c r="F7" i="11"/>
  <c r="H6" i="11"/>
  <c r="F6" i="11"/>
  <c r="H5" i="11"/>
  <c r="F5" i="11"/>
  <c r="H4" i="11"/>
  <c r="F4" i="11"/>
  <c r="H3" i="11"/>
  <c r="F3" i="11"/>
  <c r="K38" i="11" l="1"/>
  <c r="K4" i="11"/>
  <c r="K6" i="11"/>
  <c r="K28" i="11"/>
  <c r="O31" i="11"/>
  <c r="O34" i="11"/>
  <c r="O36" i="11"/>
  <c r="K39" i="11"/>
  <c r="O5" i="14"/>
  <c r="K6" i="14"/>
  <c r="K7" i="11"/>
  <c r="K29" i="11"/>
  <c r="K37" i="11"/>
  <c r="O33" i="11"/>
  <c r="O8" i="14"/>
  <c r="O37" i="11"/>
  <c r="K5" i="11"/>
  <c r="K33" i="11"/>
  <c r="O35" i="11"/>
  <c r="K36" i="11"/>
  <c r="K3" i="14"/>
  <c r="L3" i="14" s="1"/>
  <c r="K3" i="11"/>
  <c r="K31" i="11"/>
  <c r="O6" i="14"/>
  <c r="K32" i="11"/>
  <c r="K35" i="11"/>
  <c r="K7" i="14"/>
  <c r="K8" i="14"/>
  <c r="K34" i="11"/>
  <c r="O29" i="11"/>
  <c r="O7" i="14"/>
  <c r="K30" i="11"/>
  <c r="O38" i="11"/>
  <c r="K4" i="14"/>
  <c r="O32" i="11"/>
  <c r="O30" i="11"/>
  <c r="O4" i="14"/>
  <c r="K5" i="14"/>
  <c r="O39" i="11"/>
  <c r="O28" i="11"/>
  <c r="O38" i="13" l="1"/>
  <c r="O9" i="14" l="1"/>
  <c r="O2" i="14"/>
  <c r="K2" i="14"/>
  <c r="C4" i="16" l="1"/>
  <c r="O39" i="13"/>
  <c r="C8" i="16" l="1"/>
  <c r="C7" i="16"/>
  <c r="C6" i="16"/>
  <c r="C3" i="16"/>
  <c r="C2" i="16"/>
  <c r="F2" i="16" s="1"/>
  <c r="C5" i="16"/>
  <c r="F5" i="16" l="1"/>
  <c r="F3" i="16"/>
  <c r="F8" i="16"/>
  <c r="F4" i="16"/>
  <c r="F6" i="16"/>
  <c r="F7" i="16"/>
  <c r="C65" i="16" l="1" a="1"/>
  <c r="D68" i="16" l="1"/>
  <c r="H67" i="16"/>
  <c r="H68" i="16"/>
  <c r="C77" i="16"/>
  <c r="G72" i="16"/>
  <c r="C71" i="16"/>
  <c r="E69" i="16"/>
  <c r="E70" i="16"/>
  <c r="C66" i="16"/>
  <c r="H73" i="16"/>
  <c r="E68" i="16"/>
  <c r="D66" i="16"/>
  <c r="C75" i="16"/>
  <c r="E73" i="16"/>
  <c r="H79" i="16"/>
  <c r="G66" i="16"/>
  <c r="G67" i="16"/>
  <c r="H77" i="16"/>
  <c r="D76" i="16"/>
  <c r="H75" i="16"/>
  <c r="F67" i="16"/>
  <c r="C65" i="16"/>
  <c r="D75" i="16"/>
  <c r="H76" i="16"/>
  <c r="D71" i="16"/>
  <c r="F69" i="16"/>
  <c r="H70" i="16"/>
  <c r="E77" i="16"/>
  <c r="E78" i="16"/>
  <c r="C74" i="16"/>
  <c r="E72" i="16"/>
  <c r="G70" i="16"/>
  <c r="E76" i="16"/>
  <c r="G75" i="16"/>
  <c r="E71" i="16"/>
  <c r="G71" i="16"/>
  <c r="E67" i="16"/>
  <c r="G65" i="16"/>
  <c r="G77" i="16"/>
  <c r="F73" i="16"/>
  <c r="D73" i="16"/>
  <c r="D74" i="16"/>
  <c r="F68" i="16"/>
  <c r="H66" i="16"/>
  <c r="F79" i="16"/>
  <c r="F70" i="16"/>
  <c r="F66" i="16"/>
  <c r="C78" i="16"/>
  <c r="F72" i="16"/>
  <c r="C70" i="16"/>
  <c r="G69" i="16"/>
  <c r="C68" i="16"/>
  <c r="C69" i="16"/>
  <c r="D79" i="16"/>
  <c r="F77" i="16"/>
  <c r="D69" i="16"/>
  <c r="E65" i="16"/>
  <c r="D77" i="16"/>
  <c r="D78" i="16"/>
  <c r="G68" i="16"/>
  <c r="F71" i="16"/>
  <c r="H65" i="16"/>
  <c r="G78" i="16"/>
  <c r="G79" i="16"/>
  <c r="E75" i="16"/>
  <c r="G73" i="16"/>
  <c r="G74" i="16"/>
  <c r="C76" i="16"/>
  <c r="C72" i="16"/>
  <c r="C73" i="16"/>
  <c r="E79" i="16"/>
  <c r="E66" i="16"/>
  <c r="F76" i="16"/>
  <c r="H74" i="16"/>
  <c r="F74" i="16"/>
  <c r="F75" i="16"/>
  <c r="H69" i="16"/>
  <c r="C67" i="16"/>
  <c r="D72" i="16"/>
  <c r="H78" i="16"/>
  <c r="F78" i="16"/>
  <c r="E74" i="16"/>
  <c r="H71" i="16"/>
  <c r="H72" i="16"/>
  <c r="D67" i="16"/>
  <c r="F65" i="16"/>
  <c r="D65" i="16"/>
  <c r="G76" i="16"/>
  <c r="D70" i="16"/>
  <c r="C79" i="16"/>
  <c r="P13" i="16"/>
  <c r="O16" i="16" s="1" a="1"/>
  <c r="Q21" i="16" l="1"/>
  <c r="U21" i="16" s="1"/>
  <c r="Q47" i="16"/>
  <c r="U47" i="16" s="1"/>
  <c r="O134" i="16"/>
  <c r="Q160" i="16"/>
  <c r="U160" i="16" s="1"/>
  <c r="Q30" i="16"/>
  <c r="U30" i="16" s="1"/>
  <c r="P58" i="16"/>
  <c r="O112" i="16"/>
  <c r="O148" i="16"/>
  <c r="O43" i="16"/>
  <c r="O183" i="16"/>
  <c r="P189" i="16"/>
  <c r="Q67" i="16"/>
  <c r="U67" i="16" s="1"/>
  <c r="Q131" i="16"/>
  <c r="U131" i="16" s="1"/>
  <c r="Q62" i="16"/>
  <c r="U62" i="16" s="1"/>
  <c r="O83" i="16"/>
  <c r="O26" i="16"/>
  <c r="Q49" i="16"/>
  <c r="U49" i="16" s="1"/>
  <c r="O80" i="16"/>
  <c r="Q93" i="16"/>
  <c r="U93" i="16" s="1"/>
  <c r="Q179" i="16"/>
  <c r="U179" i="16" s="1"/>
  <c r="P118" i="16"/>
  <c r="P60" i="16"/>
  <c r="P142" i="16"/>
  <c r="P21" i="16"/>
  <c r="P184" i="16"/>
  <c r="P116" i="16"/>
  <c r="Q94" i="16"/>
  <c r="U94" i="16" s="1"/>
  <c r="P16" i="16"/>
  <c r="O67" i="16"/>
  <c r="P70" i="16"/>
  <c r="Q137" i="16"/>
  <c r="U137" i="16" s="1"/>
  <c r="Q23" i="16"/>
  <c r="U23" i="16" s="1"/>
  <c r="P22" i="16"/>
  <c r="Q25" i="16"/>
  <c r="U25" i="16" s="1"/>
  <c r="O75" i="16"/>
  <c r="Q64" i="16"/>
  <c r="U64" i="16" s="1"/>
  <c r="P152" i="16"/>
  <c r="O185" i="16"/>
  <c r="P186" i="16"/>
  <c r="Q51" i="16"/>
  <c r="U51" i="16" s="1"/>
  <c r="Q111" i="16"/>
  <c r="U111" i="16" s="1"/>
  <c r="P62" i="16"/>
  <c r="O182" i="16"/>
  <c r="O28" i="16"/>
  <c r="O92" i="16"/>
  <c r="P39" i="16"/>
  <c r="O153" i="16"/>
  <c r="P187" i="16"/>
  <c r="P182" i="16"/>
  <c r="Q39" i="16"/>
  <c r="U39" i="16" s="1"/>
  <c r="P175" i="16"/>
  <c r="Q63" i="16"/>
  <c r="U63" i="16" s="1"/>
  <c r="P115" i="16"/>
  <c r="Q157" i="16"/>
  <c r="U157" i="16" s="1"/>
  <c r="O105" i="16"/>
  <c r="P171" i="16"/>
  <c r="O126" i="16"/>
  <c r="Q18" i="16"/>
  <c r="U18" i="16" s="1"/>
  <c r="Q100" i="16"/>
  <c r="U100" i="16" s="1"/>
  <c r="Q96" i="16"/>
  <c r="U96" i="16" s="1"/>
  <c r="O106" i="16"/>
  <c r="Q32" i="16"/>
  <c r="U32" i="16" s="1"/>
  <c r="Q65" i="16"/>
  <c r="U65" i="16" s="1"/>
  <c r="Q119" i="16"/>
  <c r="U119" i="16" s="1"/>
  <c r="Q118" i="16"/>
  <c r="U118" i="16" s="1"/>
  <c r="Q110" i="16"/>
  <c r="U110" i="16" s="1"/>
  <c r="Q61" i="16"/>
  <c r="U61" i="16" s="1"/>
  <c r="O158" i="16"/>
  <c r="P157" i="16"/>
  <c r="P88" i="16"/>
  <c r="O117" i="16"/>
  <c r="P28" i="16"/>
  <c r="Q167" i="16"/>
  <c r="U167" i="16" s="1"/>
  <c r="Q141" i="16"/>
  <c r="U141" i="16" s="1"/>
  <c r="O60" i="16"/>
  <c r="O190" i="16"/>
  <c r="O181" i="16"/>
  <c r="Q184" i="16"/>
  <c r="U184" i="16" s="1"/>
  <c r="Q117" i="16"/>
  <c r="U117" i="16" s="1"/>
  <c r="Q38" i="16"/>
  <c r="U38" i="16" s="1"/>
  <c r="Q54" i="16"/>
  <c r="U54" i="16" s="1"/>
  <c r="O31" i="16"/>
  <c r="Q107" i="16"/>
  <c r="U107" i="16" s="1"/>
  <c r="P126" i="16"/>
  <c r="P129" i="16"/>
  <c r="Q40" i="16"/>
  <c r="U40" i="16" s="1"/>
  <c r="Q71" i="16"/>
  <c r="U71" i="16" s="1"/>
  <c r="P188" i="16"/>
  <c r="O151" i="16"/>
  <c r="P26" i="16"/>
  <c r="P169" i="16"/>
  <c r="O171" i="16"/>
  <c r="O70" i="16"/>
  <c r="O52" i="16"/>
  <c r="Q80" i="16"/>
  <c r="U80" i="16" s="1"/>
  <c r="O94" i="16"/>
  <c r="Q114" i="16"/>
  <c r="U114" i="16" s="1"/>
  <c r="P95" i="16"/>
  <c r="O111" i="16"/>
  <c r="P45" i="16"/>
  <c r="Q43" i="16"/>
  <c r="U43" i="16" s="1"/>
  <c r="O173" i="16"/>
  <c r="O132" i="16"/>
  <c r="O116" i="16"/>
  <c r="P170" i="16"/>
  <c r="O79" i="16"/>
  <c r="P106" i="16"/>
  <c r="P156" i="16"/>
  <c r="Q183" i="16"/>
  <c r="U183" i="16" s="1"/>
  <c r="Q134" i="16"/>
  <c r="U134" i="16" s="1"/>
  <c r="Q121" i="16"/>
  <c r="U121" i="16" s="1"/>
  <c r="Q29" i="16"/>
  <c r="U29" i="16" s="1"/>
  <c r="Q170" i="16"/>
  <c r="U170" i="16" s="1"/>
  <c r="O93" i="16"/>
  <c r="O66" i="16"/>
  <c r="P85" i="16"/>
  <c r="P97" i="16"/>
  <c r="Q140" i="16"/>
  <c r="U140" i="16" s="1"/>
  <c r="Q168" i="16"/>
  <c r="U168" i="16" s="1"/>
  <c r="Q77" i="16"/>
  <c r="U77" i="16" s="1"/>
  <c r="Q36" i="16"/>
  <c r="U36" i="16" s="1"/>
  <c r="O71" i="16"/>
  <c r="P168" i="16"/>
  <c r="Q99" i="16"/>
  <c r="U99" i="16" s="1"/>
  <c r="P137" i="16"/>
  <c r="Q136" i="16"/>
  <c r="U136" i="16" s="1"/>
  <c r="Q169" i="16"/>
  <c r="U169" i="16" s="1"/>
  <c r="Q28" i="16"/>
  <c r="U28" i="16" s="1"/>
  <c r="Q86" i="16"/>
  <c r="U86" i="16" s="1"/>
  <c r="Q27" i="16"/>
  <c r="U27" i="16" s="1"/>
  <c r="P179" i="16"/>
  <c r="P23" i="16"/>
  <c r="Q34" i="16"/>
  <c r="U34" i="16" s="1"/>
  <c r="P112" i="16"/>
  <c r="P105" i="16"/>
  <c r="Q175" i="16"/>
  <c r="U175" i="16" s="1"/>
  <c r="O41" i="16"/>
  <c r="Q115" i="16"/>
  <c r="U115" i="16" s="1"/>
  <c r="P79" i="16"/>
  <c r="O82" i="16"/>
  <c r="Q73" i="16"/>
  <c r="U73" i="16" s="1"/>
  <c r="O69" i="16"/>
  <c r="P107" i="16"/>
  <c r="Q66" i="16"/>
  <c r="U66" i="16" s="1"/>
  <c r="Q82" i="16"/>
  <c r="U82" i="16" s="1"/>
  <c r="Q92" i="16"/>
  <c r="U92" i="16" s="1"/>
  <c r="O98" i="16"/>
  <c r="Q26" i="16"/>
  <c r="U26" i="16" s="1"/>
  <c r="O179" i="16"/>
  <c r="P165" i="16"/>
  <c r="P33" i="16"/>
  <c r="Q135" i="16"/>
  <c r="U135" i="16" s="1"/>
  <c r="O161" i="16"/>
  <c r="O53" i="16"/>
  <c r="O128" i="16"/>
  <c r="P56" i="16"/>
  <c r="P36" i="16"/>
  <c r="P132" i="16"/>
  <c r="P96" i="16"/>
  <c r="O90" i="16"/>
  <c r="O125" i="16"/>
  <c r="Q120" i="16"/>
  <c r="U120" i="16" s="1"/>
  <c r="P134" i="16"/>
  <c r="O96" i="16"/>
  <c r="Q185" i="16"/>
  <c r="U185" i="16" s="1"/>
  <c r="P193" i="16"/>
  <c r="Q145" i="16"/>
  <c r="U145" i="16" s="1"/>
  <c r="Q129" i="16"/>
  <c r="U129" i="16" s="1"/>
  <c r="P35" i="16"/>
  <c r="O187" i="16"/>
  <c r="P94" i="16"/>
  <c r="O42" i="16"/>
  <c r="O25" i="16"/>
  <c r="Q55" i="16"/>
  <c r="U55" i="16" s="1"/>
  <c r="Q130" i="16"/>
  <c r="U130" i="16" s="1"/>
  <c r="O142" i="16"/>
  <c r="Q46" i="16"/>
  <c r="U46" i="16" s="1"/>
  <c r="O144" i="16"/>
  <c r="Q188" i="16"/>
  <c r="U188" i="16" s="1"/>
  <c r="O68" i="16"/>
  <c r="O35" i="16"/>
  <c r="Q102" i="16"/>
  <c r="U102" i="16" s="1"/>
  <c r="P38" i="16"/>
  <c r="Q83" i="16"/>
  <c r="U83" i="16" s="1"/>
  <c r="Q163" i="16"/>
  <c r="U163" i="16" s="1"/>
  <c r="O184" i="16"/>
  <c r="P44" i="16"/>
  <c r="P72" i="16"/>
  <c r="P148" i="16"/>
  <c r="P139" i="16"/>
  <c r="Q98" i="16"/>
  <c r="U98" i="16" s="1"/>
  <c r="P50" i="16"/>
  <c r="P37" i="16"/>
  <c r="Q192" i="16"/>
  <c r="U192" i="16" s="1"/>
  <c r="P176" i="16"/>
  <c r="P51" i="16"/>
  <c r="Q74" i="16"/>
  <c r="U74" i="16" s="1"/>
  <c r="O133" i="16"/>
  <c r="P74" i="16"/>
  <c r="O21" i="16"/>
  <c r="P143" i="16"/>
  <c r="O168" i="16"/>
  <c r="Q182" i="16"/>
  <c r="U182" i="16" s="1"/>
  <c r="Q44" i="16"/>
  <c r="U44" i="16" s="1"/>
  <c r="O169" i="16"/>
  <c r="P61" i="16"/>
  <c r="O174" i="16"/>
  <c r="Q17" i="16"/>
  <c r="U17" i="16" s="1"/>
  <c r="O108" i="16"/>
  <c r="Q128" i="16"/>
  <c r="U128" i="16" s="1"/>
  <c r="P136" i="16"/>
  <c r="O152" i="16"/>
  <c r="O24" i="16"/>
  <c r="O89" i="16"/>
  <c r="O157" i="16"/>
  <c r="O87" i="16"/>
  <c r="P135" i="16"/>
  <c r="Q138" i="16"/>
  <c r="U138" i="16" s="1"/>
  <c r="Q41" i="16"/>
  <c r="U41" i="16" s="1"/>
  <c r="P130" i="16"/>
  <c r="O61" i="16"/>
  <c r="O57" i="16"/>
  <c r="O100" i="16"/>
  <c r="O48" i="16"/>
  <c r="Q85" i="16"/>
  <c r="U85" i="16" s="1"/>
  <c r="P86" i="16"/>
  <c r="P104" i="16"/>
  <c r="O172" i="16"/>
  <c r="O189" i="16"/>
  <c r="O102" i="16"/>
  <c r="Q108" i="16"/>
  <c r="U108" i="16" s="1"/>
  <c r="O137" i="16"/>
  <c r="Q106" i="16"/>
  <c r="U106" i="16" s="1"/>
  <c r="P98" i="16"/>
  <c r="P63" i="16"/>
  <c r="P101" i="16"/>
  <c r="P174" i="16"/>
  <c r="P150" i="16"/>
  <c r="P27" i="16"/>
  <c r="P110" i="16"/>
  <c r="Q166" i="16"/>
  <c r="U166" i="16" s="1"/>
  <c r="O127" i="16"/>
  <c r="P117" i="16"/>
  <c r="O121" i="16"/>
  <c r="Q174" i="16"/>
  <c r="U174" i="16" s="1"/>
  <c r="P53" i="16"/>
  <c r="P124" i="16"/>
  <c r="O64" i="16"/>
  <c r="O22" i="16"/>
  <c r="P65" i="16"/>
  <c r="P73" i="16"/>
  <c r="P173" i="16"/>
  <c r="O101" i="16"/>
  <c r="Q154" i="16"/>
  <c r="U154" i="16" s="1"/>
  <c r="Q89" i="16"/>
  <c r="U89" i="16" s="1"/>
  <c r="P114" i="16"/>
  <c r="Q149" i="16"/>
  <c r="U149" i="16" s="1"/>
  <c r="P178" i="16"/>
  <c r="Q178" i="16"/>
  <c r="U178" i="16" s="1"/>
  <c r="O51" i="16"/>
  <c r="Q133" i="16"/>
  <c r="U133" i="16" s="1"/>
  <c r="P127" i="16"/>
  <c r="P89" i="16"/>
  <c r="Q158" i="16"/>
  <c r="U158" i="16" s="1"/>
  <c r="Q78" i="16"/>
  <c r="U78" i="16" s="1"/>
  <c r="O114" i="16"/>
  <c r="Q53" i="16"/>
  <c r="U53" i="16" s="1"/>
  <c r="P119" i="16"/>
  <c r="Q22" i="16"/>
  <c r="U22" i="16" s="1"/>
  <c r="O145" i="16"/>
  <c r="P24" i="16"/>
  <c r="O110" i="16"/>
  <c r="Q59" i="16"/>
  <c r="U59" i="16" s="1"/>
  <c r="P49" i="16"/>
  <c r="P162" i="16"/>
  <c r="Q19" i="16"/>
  <c r="U19" i="16" s="1"/>
  <c r="P64" i="16"/>
  <c r="P57" i="16"/>
  <c r="P67" i="16"/>
  <c r="Q24" i="16"/>
  <c r="Q186" i="16"/>
  <c r="U186" i="16" s="1"/>
  <c r="Q191" i="16"/>
  <c r="U191" i="16" s="1"/>
  <c r="P92" i="16"/>
  <c r="O166" i="16"/>
  <c r="P133" i="16"/>
  <c r="Q103" i="16"/>
  <c r="U103" i="16" s="1"/>
  <c r="Q105" i="16"/>
  <c r="U105" i="16" s="1"/>
  <c r="P42" i="16"/>
  <c r="Q143" i="16"/>
  <c r="U143" i="16" s="1"/>
  <c r="O155" i="16"/>
  <c r="O164" i="16"/>
  <c r="Q173" i="16"/>
  <c r="U173" i="16" s="1"/>
  <c r="O50" i="16"/>
  <c r="Q109" i="16"/>
  <c r="U109" i="16" s="1"/>
  <c r="O154" i="16"/>
  <c r="Q104" i="16"/>
  <c r="U104" i="16" s="1"/>
  <c r="P102" i="16"/>
  <c r="P158" i="16"/>
  <c r="Q95" i="16"/>
  <c r="U95" i="16" s="1"/>
  <c r="O118" i="16"/>
  <c r="Q152" i="16"/>
  <c r="U152" i="16" s="1"/>
  <c r="O62" i="16"/>
  <c r="Q125" i="16"/>
  <c r="U125" i="16" s="1"/>
  <c r="O130" i="16"/>
  <c r="O84" i="16"/>
  <c r="O40" i="16"/>
  <c r="P167" i="16"/>
  <c r="O175" i="16"/>
  <c r="O34" i="16"/>
  <c r="P66" i="16"/>
  <c r="P40" i="16"/>
  <c r="O159" i="16"/>
  <c r="P30" i="16"/>
  <c r="P68" i="16"/>
  <c r="P18" i="16"/>
  <c r="P181" i="16"/>
  <c r="Q189" i="16"/>
  <c r="U189" i="16" s="1"/>
  <c r="O65" i="16"/>
  <c r="P71" i="16"/>
  <c r="O136" i="16"/>
  <c r="P47" i="16"/>
  <c r="Q101" i="16"/>
  <c r="U101" i="16" s="1"/>
  <c r="P185" i="16"/>
  <c r="Q139" i="16"/>
  <c r="U139" i="16" s="1"/>
  <c r="P99" i="16"/>
  <c r="Q33" i="16"/>
  <c r="U33" i="16" s="1"/>
  <c r="P91" i="16"/>
  <c r="Q180" i="16"/>
  <c r="U180" i="16" s="1"/>
  <c r="O86" i="16"/>
  <c r="O27" i="16"/>
  <c r="P111" i="16"/>
  <c r="O30" i="16"/>
  <c r="P125" i="16"/>
  <c r="Q164" i="16"/>
  <c r="U164" i="16" s="1"/>
  <c r="P153" i="16"/>
  <c r="P163" i="16"/>
  <c r="O33" i="16"/>
  <c r="P172" i="16"/>
  <c r="Q122" i="16"/>
  <c r="U122" i="16" s="1"/>
  <c r="O188" i="16"/>
  <c r="O163" i="16"/>
  <c r="O37" i="16"/>
  <c r="Q127" i="16"/>
  <c r="U127" i="16" s="1"/>
  <c r="O44" i="16"/>
  <c r="P43" i="16"/>
  <c r="P109" i="16"/>
  <c r="P146" i="16"/>
  <c r="O85" i="16"/>
  <c r="O156" i="16"/>
  <c r="Q72" i="16"/>
  <c r="U72" i="16" s="1"/>
  <c r="Q45" i="16"/>
  <c r="U45" i="16" s="1"/>
  <c r="O103" i="16"/>
  <c r="P151" i="16"/>
  <c r="O177" i="16"/>
  <c r="O120" i="16"/>
  <c r="Q153" i="16"/>
  <c r="U153" i="16" s="1"/>
  <c r="P54" i="16"/>
  <c r="O38" i="16"/>
  <c r="P31" i="16"/>
  <c r="P159" i="16"/>
  <c r="O20" i="16"/>
  <c r="O143" i="16"/>
  <c r="Q56" i="16"/>
  <c r="U56" i="16" s="1"/>
  <c r="P84" i="16"/>
  <c r="O49" i="16"/>
  <c r="P83" i="16"/>
  <c r="O176" i="16"/>
  <c r="P25" i="16"/>
  <c r="P145" i="16"/>
  <c r="Q124" i="16"/>
  <c r="U124" i="16" s="1"/>
  <c r="Q79" i="16"/>
  <c r="U79" i="16" s="1"/>
  <c r="Q147" i="16"/>
  <c r="U147" i="16" s="1"/>
  <c r="O19" i="16"/>
  <c r="O165" i="16"/>
  <c r="P100" i="16"/>
  <c r="O72" i="16"/>
  <c r="O113" i="16"/>
  <c r="Q52" i="16"/>
  <c r="U52" i="16" s="1"/>
  <c r="O119" i="16"/>
  <c r="O107" i="16"/>
  <c r="P144" i="16"/>
  <c r="P177" i="16"/>
  <c r="O147" i="16"/>
  <c r="P108" i="16"/>
  <c r="O104" i="16"/>
  <c r="Q172" i="16"/>
  <c r="U172" i="16" s="1"/>
  <c r="P75" i="16"/>
  <c r="O59" i="16"/>
  <c r="P138" i="16"/>
  <c r="Q88" i="16"/>
  <c r="U88" i="16" s="1"/>
  <c r="Q20" i="16"/>
  <c r="U20" i="16" s="1"/>
  <c r="Q161" i="16"/>
  <c r="U161" i="16" s="1"/>
  <c r="O18" i="16"/>
  <c r="Q187" i="16"/>
  <c r="U187" i="16" s="1"/>
  <c r="O149" i="16"/>
  <c r="O74" i="16"/>
  <c r="O29" i="16"/>
  <c r="P19" i="16"/>
  <c r="P17" i="16"/>
  <c r="P160" i="16"/>
  <c r="P149" i="16"/>
  <c r="P183" i="16"/>
  <c r="Q123" i="16"/>
  <c r="U123" i="16" s="1"/>
  <c r="Q150" i="16"/>
  <c r="U150" i="16" s="1"/>
  <c r="P161" i="16"/>
  <c r="O193" i="16"/>
  <c r="Q69" i="16"/>
  <c r="U69" i="16" s="1"/>
  <c r="O180" i="16"/>
  <c r="Q181" i="16"/>
  <c r="U181" i="16" s="1"/>
  <c r="Q42" i="16"/>
  <c r="U42" i="16" s="1"/>
  <c r="Q37" i="16"/>
  <c r="U37" i="16" s="1"/>
  <c r="O76" i="16"/>
  <c r="O54" i="16"/>
  <c r="P141" i="16"/>
  <c r="P154" i="16"/>
  <c r="O91" i="16"/>
  <c r="O97" i="16"/>
  <c r="P103" i="16"/>
  <c r="O129" i="16"/>
  <c r="O55" i="16"/>
  <c r="Q165" i="16"/>
  <c r="U165" i="16" s="1"/>
  <c r="P80" i="16"/>
  <c r="Q148" i="16"/>
  <c r="U148" i="16" s="1"/>
  <c r="P81" i="16"/>
  <c r="O135" i="16"/>
  <c r="Q155" i="16"/>
  <c r="U155" i="16" s="1"/>
  <c r="Q146" i="16"/>
  <c r="U146" i="16" s="1"/>
  <c r="Q91" i="16"/>
  <c r="U91" i="16" s="1"/>
  <c r="Q113" i="16"/>
  <c r="U113" i="16" s="1"/>
  <c r="O16" i="16"/>
  <c r="O140" i="16"/>
  <c r="O146" i="16"/>
  <c r="O139" i="16"/>
  <c r="P166" i="16"/>
  <c r="Q84" i="16"/>
  <c r="U84" i="16" s="1"/>
  <c r="P77" i="16"/>
  <c r="P55" i="16"/>
  <c r="O131" i="16"/>
  <c r="O162" i="16"/>
  <c r="Q50" i="16"/>
  <c r="U50" i="16" s="1"/>
  <c r="P192" i="16"/>
  <c r="P52" i="16"/>
  <c r="P123" i="16"/>
  <c r="P87" i="16"/>
  <c r="Q151" i="16"/>
  <c r="U151" i="16" s="1"/>
  <c r="Q144" i="16"/>
  <c r="U144" i="16" s="1"/>
  <c r="P140" i="16"/>
  <c r="P128" i="16"/>
  <c r="O73" i="16"/>
  <c r="O178" i="16"/>
  <c r="P59" i="16"/>
  <c r="P93" i="16"/>
  <c r="O77" i="16"/>
  <c r="O39" i="16"/>
  <c r="Q177" i="16"/>
  <c r="U177" i="16" s="1"/>
  <c r="O192" i="16"/>
  <c r="O36" i="16"/>
  <c r="Q176" i="16"/>
  <c r="U176" i="16" s="1"/>
  <c r="O138" i="16"/>
  <c r="Q112" i="16"/>
  <c r="U112" i="16" s="1"/>
  <c r="O47" i="16"/>
  <c r="O46" i="16"/>
  <c r="P164" i="16"/>
  <c r="Q76" i="16"/>
  <c r="U76" i="16" s="1"/>
  <c r="O122" i="16"/>
  <c r="Q162" i="16"/>
  <c r="U162" i="16" s="1"/>
  <c r="O150" i="16"/>
  <c r="P113" i="16"/>
  <c r="O115" i="16"/>
  <c r="P29" i="16"/>
  <c r="P46" i="16"/>
  <c r="Q60" i="16"/>
  <c r="U60" i="16" s="1"/>
  <c r="Q31" i="16"/>
  <c r="U31" i="16" s="1"/>
  <c r="Q116" i="16"/>
  <c r="U116" i="16" s="1"/>
  <c r="O63" i="16"/>
  <c r="P147" i="16"/>
  <c r="O99" i="16"/>
  <c r="O123" i="16"/>
  <c r="O45" i="16"/>
  <c r="Q81" i="16"/>
  <c r="U81" i="16" s="1"/>
  <c r="P155" i="16"/>
  <c r="P122" i="16"/>
  <c r="P32" i="16"/>
  <c r="O88" i="16"/>
  <c r="P69" i="16"/>
  <c r="P34" i="16"/>
  <c r="Q156" i="16"/>
  <c r="U156" i="16" s="1"/>
  <c r="Q58" i="16"/>
  <c r="U58" i="16" s="1"/>
  <c r="P20" i="16"/>
  <c r="P90" i="16"/>
  <c r="Q57" i="16"/>
  <c r="U57" i="16" s="1"/>
  <c r="O56" i="16"/>
  <c r="O160" i="16"/>
  <c r="O186" i="16"/>
  <c r="Q142" i="16"/>
  <c r="U142" i="16" s="1"/>
  <c r="O167" i="16"/>
  <c r="O95" i="16"/>
  <c r="O124" i="16"/>
  <c r="Q132" i="16"/>
  <c r="U132" i="16" s="1"/>
  <c r="P41" i="16"/>
  <c r="Q68" i="16"/>
  <c r="U68" i="16" s="1"/>
  <c r="O23" i="16"/>
  <c r="O58" i="16"/>
  <c r="P190" i="16"/>
  <c r="Q70" i="16"/>
  <c r="U70" i="16" s="1"/>
  <c r="P82" i="16"/>
  <c r="P191" i="16"/>
  <c r="Q75" i="16"/>
  <c r="U75" i="16" s="1"/>
  <c r="Q35" i="16"/>
  <c r="U35" i="16" s="1"/>
  <c r="O78" i="16"/>
  <c r="O32" i="16"/>
  <c r="P48" i="16"/>
  <c r="Q126" i="16"/>
  <c r="U126" i="16" s="1"/>
  <c r="P78" i="16"/>
  <c r="P76" i="16"/>
  <c r="O109" i="16"/>
  <c r="O170" i="16"/>
  <c r="P121" i="16"/>
  <c r="Q90" i="16"/>
  <c r="U90" i="16" s="1"/>
  <c r="Q16" i="16"/>
  <c r="P180" i="16"/>
  <c r="Q48" i="16"/>
  <c r="U48" i="16" s="1"/>
  <c r="O81" i="16"/>
  <c r="O191" i="16"/>
  <c r="Q193" i="16"/>
  <c r="U193" i="16" s="1"/>
  <c r="P120" i="16"/>
  <c r="Q190" i="16"/>
  <c r="U190" i="16" s="1"/>
  <c r="Q87" i="16"/>
  <c r="U87" i="16" s="1"/>
  <c r="Q159" i="16"/>
  <c r="U159" i="16" s="1"/>
  <c r="P131" i="16"/>
  <c r="O141" i="16"/>
  <c r="Q171" i="16"/>
  <c r="U171" i="16" s="1"/>
  <c r="O17" i="16"/>
  <c r="Q97" i="16"/>
  <c r="U97" i="16" s="1"/>
  <c r="R147" i="16" l="1"/>
  <c r="S147" i="16"/>
  <c r="R83" i="16"/>
  <c r="S83" i="16"/>
  <c r="R186" i="16"/>
  <c r="S186" i="16"/>
  <c r="R131" i="16"/>
  <c r="S131" i="16"/>
  <c r="R57" i="16"/>
  <c r="S57" i="16"/>
  <c r="R167" i="16"/>
  <c r="S167" i="16"/>
  <c r="R192" i="16"/>
  <c r="S192" i="16"/>
  <c r="R146" i="16"/>
  <c r="S146" i="16"/>
  <c r="S91" i="16"/>
  <c r="R91" i="16"/>
  <c r="S180" i="16"/>
  <c r="R180" i="16"/>
  <c r="R72" i="16"/>
  <c r="S72" i="16"/>
  <c r="R103" i="16"/>
  <c r="S103" i="16"/>
  <c r="S44" i="16"/>
  <c r="R44" i="16"/>
  <c r="S136" i="16"/>
  <c r="R136" i="16"/>
  <c r="S159" i="16"/>
  <c r="R159" i="16"/>
  <c r="R130" i="16"/>
  <c r="S130" i="16"/>
  <c r="U24" i="16"/>
  <c r="S110" i="16"/>
  <c r="R110" i="16"/>
  <c r="S64" i="16"/>
  <c r="R64" i="16"/>
  <c r="S137" i="16"/>
  <c r="R137" i="16"/>
  <c r="S48" i="16"/>
  <c r="R48" i="16"/>
  <c r="R87" i="16"/>
  <c r="S87" i="16"/>
  <c r="S21" i="16"/>
  <c r="R21" i="16"/>
  <c r="S142" i="16"/>
  <c r="R142" i="16"/>
  <c r="R90" i="16"/>
  <c r="S90" i="16"/>
  <c r="R116" i="16"/>
  <c r="S116" i="16"/>
  <c r="S94" i="16"/>
  <c r="R94" i="16"/>
  <c r="R26" i="16"/>
  <c r="S26" i="16"/>
  <c r="R148" i="16"/>
  <c r="S148" i="16"/>
  <c r="R45" i="16"/>
  <c r="S45" i="16"/>
  <c r="S162" i="16"/>
  <c r="R162" i="16"/>
  <c r="R176" i="16"/>
  <c r="S176" i="16"/>
  <c r="S174" i="16"/>
  <c r="R174" i="16"/>
  <c r="S38" i="16"/>
  <c r="R38" i="16"/>
  <c r="S89" i="16"/>
  <c r="R89" i="16"/>
  <c r="R17" i="16"/>
  <c r="S17" i="16"/>
  <c r="R170" i="16"/>
  <c r="S170" i="16"/>
  <c r="R160" i="16"/>
  <c r="S160" i="16"/>
  <c r="S99" i="16"/>
  <c r="R99" i="16"/>
  <c r="R115" i="16"/>
  <c r="S115" i="16"/>
  <c r="S47" i="16"/>
  <c r="R47" i="16"/>
  <c r="R77" i="16"/>
  <c r="S77" i="16"/>
  <c r="R54" i="16"/>
  <c r="S54" i="16"/>
  <c r="R29" i="16"/>
  <c r="S29" i="16"/>
  <c r="S19" i="16"/>
  <c r="R19" i="16"/>
  <c r="S49" i="16"/>
  <c r="R49" i="16"/>
  <c r="S156" i="16"/>
  <c r="R156" i="16"/>
  <c r="R163" i="16"/>
  <c r="S163" i="16"/>
  <c r="R34" i="16"/>
  <c r="S34" i="16"/>
  <c r="R50" i="16"/>
  <c r="S50" i="16"/>
  <c r="S101" i="16"/>
  <c r="R101" i="16"/>
  <c r="R189" i="16"/>
  <c r="S189" i="16"/>
  <c r="R61" i="16"/>
  <c r="S61" i="16"/>
  <c r="R24" i="16"/>
  <c r="S24" i="16"/>
  <c r="S169" i="16"/>
  <c r="R169" i="16"/>
  <c r="R35" i="16"/>
  <c r="S35" i="16"/>
  <c r="S25" i="16"/>
  <c r="R25" i="16"/>
  <c r="S179" i="16"/>
  <c r="R179" i="16"/>
  <c r="R70" i="16"/>
  <c r="S70" i="16"/>
  <c r="S181" i="16"/>
  <c r="R181" i="16"/>
  <c r="R106" i="16"/>
  <c r="S106" i="16"/>
  <c r="R92" i="16"/>
  <c r="S92" i="16"/>
  <c r="R67" i="16"/>
  <c r="S67" i="16"/>
  <c r="S58" i="16"/>
  <c r="R58" i="16"/>
  <c r="S140" i="16"/>
  <c r="R140" i="16"/>
  <c r="R157" i="16"/>
  <c r="S157" i="16"/>
  <c r="S153" i="16"/>
  <c r="R153" i="16"/>
  <c r="R112" i="16"/>
  <c r="S112" i="16"/>
  <c r="R46" i="16"/>
  <c r="S46" i="16"/>
  <c r="S56" i="16"/>
  <c r="R56" i="16"/>
  <c r="R55" i="16"/>
  <c r="S55" i="16"/>
  <c r="S74" i="16"/>
  <c r="R74" i="16"/>
  <c r="R59" i="16"/>
  <c r="S59" i="16"/>
  <c r="R85" i="16"/>
  <c r="S85" i="16"/>
  <c r="R188" i="16"/>
  <c r="S188" i="16"/>
  <c r="S30" i="16"/>
  <c r="R30" i="16"/>
  <c r="R175" i="16"/>
  <c r="S175" i="16"/>
  <c r="S118" i="16"/>
  <c r="R118" i="16"/>
  <c r="S166" i="16"/>
  <c r="R166" i="16"/>
  <c r="S51" i="16"/>
  <c r="R51" i="16"/>
  <c r="S121" i="16"/>
  <c r="R121" i="16"/>
  <c r="R172" i="16"/>
  <c r="S172" i="16"/>
  <c r="S152" i="16"/>
  <c r="R152" i="16"/>
  <c r="S68" i="16"/>
  <c r="R68" i="16"/>
  <c r="R42" i="16"/>
  <c r="S42" i="16"/>
  <c r="S96" i="16"/>
  <c r="R96" i="16"/>
  <c r="S82" i="16"/>
  <c r="R82" i="16"/>
  <c r="S171" i="16"/>
  <c r="R171" i="16"/>
  <c r="R190" i="16"/>
  <c r="S190" i="16"/>
  <c r="S158" i="16"/>
  <c r="R158" i="16"/>
  <c r="R28" i="16"/>
  <c r="S28" i="16"/>
  <c r="R32" i="16"/>
  <c r="S32" i="16"/>
  <c r="R154" i="16"/>
  <c r="S154" i="16"/>
  <c r="S117" i="16"/>
  <c r="R117" i="16"/>
  <c r="S105" i="16"/>
  <c r="R105" i="16"/>
  <c r="S78" i="16"/>
  <c r="R78" i="16"/>
  <c r="R145" i="16"/>
  <c r="S145" i="16"/>
  <c r="R102" i="16"/>
  <c r="S102" i="16"/>
  <c r="S69" i="16"/>
  <c r="R69" i="16"/>
  <c r="R173" i="16"/>
  <c r="S173" i="16"/>
  <c r="S52" i="16"/>
  <c r="R52" i="16"/>
  <c r="R107" i="16"/>
  <c r="S107" i="16"/>
  <c r="S141" i="16"/>
  <c r="R141" i="16"/>
  <c r="R81" i="16"/>
  <c r="S81" i="16"/>
  <c r="R63" i="16"/>
  <c r="S63" i="16"/>
  <c r="S150" i="16"/>
  <c r="R150" i="16"/>
  <c r="S138" i="16"/>
  <c r="R138" i="16"/>
  <c r="R129" i="16"/>
  <c r="S129" i="16"/>
  <c r="S149" i="16"/>
  <c r="R149" i="16"/>
  <c r="R119" i="16"/>
  <c r="S119" i="16"/>
  <c r="S120" i="16"/>
  <c r="R120" i="16"/>
  <c r="S164" i="16"/>
  <c r="R164" i="16"/>
  <c r="R128" i="16"/>
  <c r="S128" i="16"/>
  <c r="S98" i="16"/>
  <c r="R98" i="16"/>
  <c r="S66" i="16"/>
  <c r="R66" i="16"/>
  <c r="R111" i="16"/>
  <c r="S111" i="16"/>
  <c r="R60" i="16"/>
  <c r="S60" i="16"/>
  <c r="R182" i="16"/>
  <c r="S182" i="16"/>
  <c r="S75" i="16"/>
  <c r="R75" i="16"/>
  <c r="R134" i="16"/>
  <c r="S134" i="16"/>
  <c r="R132" i="16"/>
  <c r="S132" i="16"/>
  <c r="S23" i="16"/>
  <c r="R23" i="16"/>
  <c r="S39" i="16"/>
  <c r="R39" i="16"/>
  <c r="S193" i="16"/>
  <c r="R193" i="16"/>
  <c r="S165" i="16"/>
  <c r="R165" i="16"/>
  <c r="R37" i="16"/>
  <c r="S37" i="16"/>
  <c r="S62" i="16"/>
  <c r="R62" i="16"/>
  <c r="R133" i="16"/>
  <c r="S133" i="16"/>
  <c r="S191" i="16"/>
  <c r="R191" i="16"/>
  <c r="S109" i="16"/>
  <c r="R109" i="16"/>
  <c r="S88" i="16"/>
  <c r="R88" i="16"/>
  <c r="S76" i="16"/>
  <c r="R76" i="16"/>
  <c r="R124" i="16"/>
  <c r="S124" i="16"/>
  <c r="R178" i="16"/>
  <c r="S178" i="16"/>
  <c r="R143" i="16"/>
  <c r="S143" i="16"/>
  <c r="R177" i="16"/>
  <c r="S177" i="16"/>
  <c r="R27" i="16"/>
  <c r="S27" i="16"/>
  <c r="R40" i="16"/>
  <c r="S40" i="16"/>
  <c r="S155" i="16"/>
  <c r="R155" i="16"/>
  <c r="R114" i="16"/>
  <c r="S114" i="16"/>
  <c r="S127" i="16"/>
  <c r="R127" i="16"/>
  <c r="S168" i="16"/>
  <c r="R168" i="16"/>
  <c r="R184" i="16"/>
  <c r="S184" i="16"/>
  <c r="R144" i="16"/>
  <c r="S144" i="16"/>
  <c r="S187" i="16"/>
  <c r="R187" i="16"/>
  <c r="R53" i="16"/>
  <c r="S53" i="16"/>
  <c r="R71" i="16"/>
  <c r="S71" i="16"/>
  <c r="R93" i="16"/>
  <c r="S93" i="16"/>
  <c r="S79" i="16"/>
  <c r="R79" i="16"/>
  <c r="S31" i="16"/>
  <c r="R31" i="16"/>
  <c r="R80" i="16"/>
  <c r="S80" i="16"/>
  <c r="S183" i="16"/>
  <c r="R183" i="16"/>
  <c r="S100" i="16"/>
  <c r="R100" i="16"/>
  <c r="R123" i="16"/>
  <c r="S123" i="16"/>
  <c r="R65" i="16"/>
  <c r="S65" i="16"/>
  <c r="R185" i="16"/>
  <c r="S185" i="16"/>
  <c r="R95" i="16"/>
  <c r="S95" i="16"/>
  <c r="R122" i="16"/>
  <c r="S122" i="16"/>
  <c r="R36" i="16"/>
  <c r="S36" i="16"/>
  <c r="S73" i="16"/>
  <c r="R73" i="16"/>
  <c r="R139" i="16"/>
  <c r="S139" i="16"/>
  <c r="S135" i="16"/>
  <c r="R135" i="16"/>
  <c r="S97" i="16"/>
  <c r="R97" i="16"/>
  <c r="R18" i="16"/>
  <c r="S18" i="16"/>
  <c r="R104" i="16"/>
  <c r="S104" i="16"/>
  <c r="R113" i="16"/>
  <c r="S113" i="16"/>
  <c r="R20" i="16"/>
  <c r="S20" i="16"/>
  <c r="S33" i="16"/>
  <c r="R33" i="16"/>
  <c r="S86" i="16"/>
  <c r="R86" i="16"/>
  <c r="S84" i="16"/>
  <c r="R84" i="16"/>
  <c r="R22" i="16"/>
  <c r="S22" i="16"/>
  <c r="R108" i="16"/>
  <c r="S108" i="16"/>
  <c r="R125" i="16"/>
  <c r="S125" i="16"/>
  <c r="R161" i="16"/>
  <c r="S161" i="16"/>
  <c r="S41" i="16"/>
  <c r="R41" i="16"/>
  <c r="S151" i="16"/>
  <c r="R151" i="16"/>
  <c r="S126" i="16"/>
  <c r="R126" i="16"/>
  <c r="R43" i="16"/>
  <c r="S43" i="16"/>
  <c r="T126" i="16" l="1"/>
  <c r="T86" i="16"/>
  <c r="T100" i="16"/>
  <c r="T79" i="16"/>
  <c r="T187" i="16"/>
  <c r="T127" i="16"/>
  <c r="T191" i="16"/>
  <c r="T165" i="16"/>
  <c r="T149" i="16"/>
  <c r="T140" i="16"/>
  <c r="T25" i="16"/>
  <c r="T174" i="16"/>
  <c r="T44" i="16"/>
  <c r="T91" i="16"/>
  <c r="T41" i="16"/>
  <c r="T97" i="16"/>
  <c r="T80" i="16"/>
  <c r="T155" i="16"/>
  <c r="T88" i="16"/>
  <c r="T62" i="16"/>
  <c r="T39" i="16"/>
  <c r="T75" i="16"/>
  <c r="T66" i="16"/>
  <c r="T120" i="16"/>
  <c r="T141" i="16"/>
  <c r="T69" i="16"/>
  <c r="T105" i="16"/>
  <c r="T82" i="16"/>
  <c r="T152" i="16"/>
  <c r="T166" i="16"/>
  <c r="T153" i="16"/>
  <c r="T169" i="16"/>
  <c r="T101" i="16"/>
  <c r="T156" i="16"/>
  <c r="T99" i="16"/>
  <c r="T89" i="16"/>
  <c r="T162" i="16"/>
  <c r="T94" i="16"/>
  <c r="T21" i="16"/>
  <c r="T64" i="16"/>
  <c r="T159" i="16"/>
  <c r="T138" i="16"/>
  <c r="T52" i="16"/>
  <c r="T121" i="16"/>
  <c r="T19" i="16"/>
  <c r="T47" i="16"/>
  <c r="T48" i="16"/>
  <c r="T108" i="16"/>
  <c r="T18" i="16"/>
  <c r="T185" i="16"/>
  <c r="T93" i="16"/>
  <c r="T144" i="16"/>
  <c r="T114" i="16"/>
  <c r="T177" i="16"/>
  <c r="T133" i="16"/>
  <c r="T134" i="16"/>
  <c r="T111" i="16"/>
  <c r="T129" i="16"/>
  <c r="T81" i="16"/>
  <c r="T173" i="16"/>
  <c r="T32" i="16"/>
  <c r="T112" i="16"/>
  <c r="T35" i="16"/>
  <c r="T189" i="16"/>
  <c r="T163" i="16"/>
  <c r="T29" i="16"/>
  <c r="T115" i="16"/>
  <c r="T17" i="16"/>
  <c r="T176" i="16"/>
  <c r="T26" i="16"/>
  <c r="T130" i="16"/>
  <c r="T103" i="16"/>
  <c r="T146" i="16"/>
  <c r="T131" i="16"/>
  <c r="T84" i="16"/>
  <c r="T135" i="16"/>
  <c r="T31" i="16"/>
  <c r="T168" i="16"/>
  <c r="T109" i="16"/>
  <c r="T23" i="16"/>
  <c r="T182" i="16"/>
  <c r="T98" i="16"/>
  <c r="T150" i="16"/>
  <c r="T117" i="16"/>
  <c r="T158" i="16"/>
  <c r="T96" i="16"/>
  <c r="T118" i="16"/>
  <c r="T56" i="16"/>
  <c r="T179" i="16"/>
  <c r="T49" i="16"/>
  <c r="T38" i="16"/>
  <c r="T110" i="16"/>
  <c r="T136" i="16"/>
  <c r="T180" i="16"/>
  <c r="T36" i="16"/>
  <c r="T123" i="16"/>
  <c r="T151" i="16"/>
  <c r="T33" i="16"/>
  <c r="T73" i="16"/>
  <c r="T183" i="16"/>
  <c r="T76" i="16"/>
  <c r="T193" i="16"/>
  <c r="T164" i="16"/>
  <c r="T78" i="16"/>
  <c r="T171" i="16"/>
  <c r="T68" i="16"/>
  <c r="T51" i="16"/>
  <c r="T30" i="16"/>
  <c r="T74" i="16"/>
  <c r="T58" i="16"/>
  <c r="T181" i="16"/>
  <c r="T142" i="16"/>
  <c r="T137" i="16"/>
  <c r="T65" i="16"/>
  <c r="T71" i="16"/>
  <c r="T184" i="16"/>
  <c r="T143" i="16"/>
  <c r="T28" i="16"/>
  <c r="T188" i="16"/>
  <c r="T55" i="16"/>
  <c r="T67" i="16"/>
  <c r="T70" i="16"/>
  <c r="T54" i="16"/>
  <c r="T72" i="16"/>
  <c r="T192" i="16"/>
  <c r="T186" i="16"/>
  <c r="T20" i="16"/>
  <c r="T43" i="16"/>
  <c r="T53" i="16"/>
  <c r="T40" i="16"/>
  <c r="T178" i="16"/>
  <c r="T37" i="16"/>
  <c r="T119" i="16"/>
  <c r="T107" i="16"/>
  <c r="T102" i="16"/>
  <c r="T172" i="16"/>
  <c r="T85" i="16"/>
  <c r="T157" i="16"/>
  <c r="T92" i="16"/>
  <c r="T24" i="16"/>
  <c r="T50" i="16"/>
  <c r="T77" i="16"/>
  <c r="T160" i="16"/>
  <c r="T45" i="16"/>
  <c r="T116" i="16"/>
  <c r="T87" i="16"/>
  <c r="T167" i="16"/>
  <c r="T83" i="16"/>
  <c r="T161" i="16"/>
  <c r="T22" i="16"/>
  <c r="T113" i="16"/>
  <c r="T122" i="16"/>
  <c r="T125" i="16"/>
  <c r="T104" i="16"/>
  <c r="T139" i="16"/>
  <c r="T95" i="16"/>
  <c r="T27" i="16"/>
  <c r="T124" i="16"/>
  <c r="T132" i="16"/>
  <c r="T60" i="16"/>
  <c r="T128" i="16"/>
  <c r="T63" i="16"/>
  <c r="T145" i="16"/>
  <c r="T154" i="16"/>
  <c r="T190" i="16"/>
  <c r="T42" i="16"/>
  <c r="T175" i="16"/>
  <c r="T59" i="16"/>
  <c r="T46" i="16"/>
  <c r="T106" i="16"/>
  <c r="T61" i="16"/>
  <c r="T34" i="16"/>
  <c r="T170" i="16"/>
  <c r="T148" i="16"/>
  <c r="T90" i="16"/>
  <c r="T57" i="16"/>
  <c r="T147" i="16"/>
  <c r="C31" i="16" l="1"/>
  <c r="H29" i="16"/>
  <c r="H33" i="16"/>
  <c r="E31" i="16"/>
  <c r="J28" i="16"/>
  <c r="F32" i="16"/>
  <c r="I29" i="16"/>
  <c r="D33" i="16"/>
  <c r="I32" i="16"/>
  <c r="H31" i="16"/>
  <c r="D34" i="16"/>
  <c r="I31" i="16"/>
  <c r="J34" i="16"/>
  <c r="G33" i="16"/>
  <c r="D30" i="16"/>
  <c r="E29" i="16"/>
  <c r="E28" i="16"/>
  <c r="I34" i="16"/>
  <c r="B33" i="16"/>
  <c r="B28" i="16"/>
  <c r="G32" i="16"/>
  <c r="C29" i="16"/>
  <c r="F30" i="16"/>
  <c r="C33" i="16"/>
  <c r="D29" i="16"/>
  <c r="E33" i="16"/>
  <c r="F29" i="16"/>
  <c r="C28" i="16"/>
  <c r="D32" i="16"/>
  <c r="I33" i="16"/>
  <c r="J29" i="16"/>
  <c r="F34" i="16"/>
  <c r="H34" i="16"/>
  <c r="G34" i="16"/>
  <c r="I30" i="16"/>
  <c r="I28" i="16"/>
  <c r="H30" i="16"/>
  <c r="E30" i="16"/>
  <c r="G29" i="16"/>
  <c r="E34" i="16"/>
  <c r="F28" i="16"/>
  <c r="J30" i="16"/>
  <c r="J33" i="16"/>
  <c r="B32" i="16"/>
  <c r="J32" i="16"/>
  <c r="D28" i="16"/>
  <c r="B29" i="16"/>
  <c r="C30" i="16"/>
  <c r="B30" i="16"/>
  <c r="J31" i="16"/>
  <c r="G30" i="16"/>
  <c r="B34" i="16"/>
  <c r="C32" i="16"/>
  <c r="H32" i="16"/>
  <c r="B31" i="16"/>
  <c r="F33" i="16"/>
  <c r="G31" i="16"/>
  <c r="G28" i="16"/>
  <c r="D31" i="16"/>
  <c r="F31" i="16"/>
  <c r="C34" i="16"/>
  <c r="E32" i="16"/>
  <c r="H28" i="16"/>
  <c r="G2" i="17" l="1"/>
  <c r="I2" i="17" s="1"/>
  <c r="G3" i="17"/>
  <c r="I3" i="17" s="1"/>
  <c r="G4" i="17"/>
  <c r="I4" i="17" s="1"/>
  <c r="G5" i="17"/>
  <c r="I5" i="17" s="1"/>
  <c r="G6" i="17"/>
  <c r="I6" i="17" s="1"/>
  <c r="G7" i="17"/>
  <c r="I7" i="17" s="1"/>
  <c r="G8" i="17"/>
  <c r="I8" i="17" s="1"/>
  <c r="G9" i="17"/>
  <c r="I9" i="17" s="1"/>
  <c r="G10" i="17"/>
  <c r="I10" i="17" s="1"/>
  <c r="G11" i="17"/>
  <c r="I11" i="17" s="1"/>
  <c r="G12" i="17"/>
  <c r="I12" i="17" s="1"/>
  <c r="G13" i="17"/>
  <c r="I13" i="17" s="1"/>
  <c r="D6" i="16"/>
  <c r="D5" i="16"/>
  <c r="D2" i="16"/>
  <c r="A30" i="2"/>
  <c r="D8" i="16"/>
  <c r="D4" i="16"/>
  <c r="D7" i="16"/>
  <c r="A29" i="2"/>
  <c r="D3" i="16"/>
  <c r="J9" i="17" l="1"/>
  <c r="K9" i="17" s="1"/>
  <c r="J8" i="17"/>
  <c r="K8" i="17" s="1"/>
  <c r="J7" i="17"/>
  <c r="K7" i="17" s="1"/>
  <c r="J6" i="17"/>
  <c r="K6" i="17" s="1"/>
  <c r="J13" i="17"/>
  <c r="K13" i="17" s="1"/>
  <c r="J5" i="17"/>
  <c r="K5" i="17" s="1"/>
  <c r="J12" i="17"/>
  <c r="K12" i="17" s="1"/>
  <c r="J4" i="17"/>
  <c r="K4" i="17" s="1"/>
  <c r="J11" i="17"/>
  <c r="K11" i="17" s="1"/>
  <c r="J3" i="17"/>
  <c r="K3" i="17" s="1"/>
  <c r="J10" i="17"/>
  <c r="K10" i="17" s="1"/>
  <c r="J2" i="17"/>
  <c r="K2" i="17" s="1"/>
  <c r="J2" i="16"/>
  <c r="M6" i="16"/>
  <c r="L6" i="16" s="1"/>
  <c r="M2" i="16"/>
  <c r="L2" i="16" s="1"/>
  <c r="M3" i="16"/>
  <c r="L3" i="16" s="1"/>
  <c r="J7" i="16"/>
  <c r="J8" i="16"/>
  <c r="M5" i="16"/>
  <c r="L5" i="16" s="1"/>
  <c r="J6" i="16"/>
  <c r="J5" i="16"/>
  <c r="J4" i="16"/>
  <c r="J3" i="16"/>
  <c r="M8" i="16"/>
  <c r="L8" i="16" s="1"/>
  <c r="M7" i="16"/>
  <c r="M4" i="16"/>
  <c r="L4" i="16" s="1"/>
  <c r="G7" i="16"/>
  <c r="H7" i="16" s="1"/>
  <c r="E7" i="16"/>
  <c r="L44" i="13"/>
  <c r="M44" i="13" s="1"/>
  <c r="O44" i="13" s="1"/>
  <c r="L37" i="11"/>
  <c r="W19" i="13"/>
  <c r="X19" i="13" s="1"/>
  <c r="Y19" i="13" s="1"/>
  <c r="P35" i="11"/>
  <c r="L2" i="14"/>
  <c r="T28" i="11"/>
  <c r="U28" i="11" s="1"/>
  <c r="V28" i="11" s="1"/>
  <c r="Q39" i="13"/>
  <c r="R39" i="13" s="1"/>
  <c r="S39" i="13" s="1"/>
  <c r="T35" i="11"/>
  <c r="U35" i="11" s="1"/>
  <c r="V35" i="11" s="1"/>
  <c r="T48" i="11"/>
  <c r="U48" i="11" s="1"/>
  <c r="V48" i="11" s="1"/>
  <c r="T45" i="11"/>
  <c r="U45" i="11" s="1"/>
  <c r="V45" i="11" s="1"/>
  <c r="M2" i="11"/>
  <c r="L32" i="13"/>
  <c r="E101" i="1"/>
  <c r="P50" i="11"/>
  <c r="P8" i="14"/>
  <c r="Z39" i="13"/>
  <c r="AA39" i="13" s="1"/>
  <c r="AB39" i="13" s="1"/>
  <c r="T38" i="11"/>
  <c r="U38" i="11" s="1"/>
  <c r="V38" i="11" s="1"/>
  <c r="P19" i="13"/>
  <c r="Q50" i="11"/>
  <c r="R50" i="11" s="1"/>
  <c r="S50" i="11" s="1"/>
  <c r="L46" i="11"/>
  <c r="P38" i="13"/>
  <c r="P39" i="11"/>
  <c r="Q47" i="11"/>
  <c r="R47" i="11" s="1"/>
  <c r="S47" i="11" s="1"/>
  <c r="L29" i="13"/>
  <c r="L11" i="13"/>
  <c r="M11" i="13" s="1"/>
  <c r="O11" i="13" s="1"/>
  <c r="L41" i="11"/>
  <c r="T7" i="14"/>
  <c r="U7" i="14" s="1"/>
  <c r="V7" i="14" s="1"/>
  <c r="T39" i="11"/>
  <c r="U39" i="11" s="1"/>
  <c r="V39" i="11" s="1"/>
  <c r="L6" i="11"/>
  <c r="P47" i="11"/>
  <c r="Q8" i="14"/>
  <c r="R8" i="14" s="1"/>
  <c r="S8" i="14" s="1"/>
  <c r="Q51" i="11"/>
  <c r="R51" i="11" s="1"/>
  <c r="S51" i="11" s="1"/>
  <c r="L25" i="13"/>
  <c r="P46" i="11"/>
  <c r="L41" i="13"/>
  <c r="M41" i="13" s="1"/>
  <c r="O41" i="13" s="1"/>
  <c r="L48" i="11"/>
  <c r="L21" i="11"/>
  <c r="M21" i="11" s="1"/>
  <c r="L35" i="11"/>
  <c r="L16" i="11"/>
  <c r="M16" i="11" s="1"/>
  <c r="L46" i="13"/>
  <c r="M46" i="13" s="1"/>
  <c r="O46" i="13" s="1"/>
  <c r="P42" i="11"/>
  <c r="P30" i="11"/>
  <c r="P29" i="11"/>
  <c r="Q4" i="14"/>
  <c r="R4" i="14" s="1"/>
  <c r="S4" i="14" s="1"/>
  <c r="P38" i="11"/>
  <c r="T20" i="13"/>
  <c r="U20" i="13" s="1"/>
  <c r="V20" i="13" s="1"/>
  <c r="P20" i="13"/>
  <c r="P49" i="11"/>
  <c r="P32" i="11"/>
  <c r="L31" i="11"/>
  <c r="L7" i="14"/>
  <c r="L4" i="13"/>
  <c r="M4" i="13" s="1"/>
  <c r="O4" i="13" s="1"/>
  <c r="L28" i="13"/>
  <c r="L47" i="11"/>
  <c r="Q30" i="11"/>
  <c r="R30" i="11" s="1"/>
  <c r="S30" i="11" s="1"/>
  <c r="Q46" i="11"/>
  <c r="R46" i="11" s="1"/>
  <c r="S46" i="11" s="1"/>
  <c r="L29" i="11"/>
  <c r="Q42" i="11"/>
  <c r="R42" i="11" s="1"/>
  <c r="S42" i="11" s="1"/>
  <c r="L42" i="13"/>
  <c r="M42" i="13" s="1"/>
  <c r="O42" i="13" s="1"/>
  <c r="L45" i="13"/>
  <c r="M45" i="13" s="1"/>
  <c r="O45" i="13" s="1"/>
  <c r="P51" i="11"/>
  <c r="T4" i="14"/>
  <c r="U4" i="14" s="1"/>
  <c r="V4" i="14" s="1"/>
  <c r="L30" i="13"/>
  <c r="L39" i="11"/>
  <c r="L10" i="11"/>
  <c r="L3" i="13"/>
  <c r="M3" i="13" s="1"/>
  <c r="O3" i="13" s="1"/>
  <c r="L15" i="13"/>
  <c r="M15" i="13" s="1"/>
  <c r="O15" i="13" s="1"/>
  <c r="T36" i="11"/>
  <c r="U36" i="11" s="1"/>
  <c r="V36" i="11" s="1"/>
  <c r="T43" i="11"/>
  <c r="U43" i="11" s="1"/>
  <c r="V43" i="11" s="1"/>
  <c r="P2" i="14"/>
  <c r="T34" i="11"/>
  <c r="U34" i="11" s="1"/>
  <c r="V34" i="11" s="1"/>
  <c r="L14" i="13"/>
  <c r="M14" i="13" s="1"/>
  <c r="O14" i="13" s="1"/>
  <c r="Q32" i="11"/>
  <c r="R32" i="11" s="1"/>
  <c r="S32" i="11" s="1"/>
  <c r="L10" i="13"/>
  <c r="M10" i="13" s="1"/>
  <c r="O10" i="13" s="1"/>
  <c r="P31" i="11"/>
  <c r="L38" i="11"/>
  <c r="L13" i="11"/>
  <c r="L15" i="11"/>
  <c r="M15" i="11" s="1"/>
  <c r="L22" i="11"/>
  <c r="M22" i="11" s="1"/>
  <c r="Q29" i="11"/>
  <c r="R29" i="11" s="1"/>
  <c r="S29" i="11" s="1"/>
  <c r="Q43" i="11"/>
  <c r="R43" i="11" s="1"/>
  <c r="S43" i="11" s="1"/>
  <c r="L48" i="13"/>
  <c r="M48" i="13" s="1"/>
  <c r="O48" i="13" s="1"/>
  <c r="T37" i="11"/>
  <c r="U37" i="11" s="1"/>
  <c r="V37" i="11" s="1"/>
  <c r="Q37" i="11"/>
  <c r="R37" i="11" s="1"/>
  <c r="S37" i="11" s="1"/>
  <c r="L18" i="11"/>
  <c r="M18" i="11" s="1"/>
  <c r="L6" i="13"/>
  <c r="M6" i="13" s="1"/>
  <c r="O6" i="13" s="1"/>
  <c r="T46" i="11"/>
  <c r="U46" i="11" s="1"/>
  <c r="V46" i="11" s="1"/>
  <c r="P36" i="11"/>
  <c r="Q6" i="14"/>
  <c r="R6" i="14" s="1"/>
  <c r="S6" i="14" s="1"/>
  <c r="Q20" i="13"/>
  <c r="R20" i="13" s="1"/>
  <c r="S20" i="13" s="1"/>
  <c r="P7" i="14"/>
  <c r="L30" i="11"/>
  <c r="L43" i="11"/>
  <c r="T8" i="14"/>
  <c r="U8" i="14" s="1"/>
  <c r="V8" i="14" s="1"/>
  <c r="L33" i="13"/>
  <c r="P28" i="11"/>
  <c r="Q2" i="14"/>
  <c r="L26" i="13"/>
  <c r="W38" i="13"/>
  <c r="X38" i="13" s="1"/>
  <c r="Y38" i="13" s="1"/>
  <c r="L5" i="11"/>
  <c r="Q35" i="11"/>
  <c r="R35" i="11" s="1"/>
  <c r="S35" i="11" s="1"/>
  <c r="Q34" i="11"/>
  <c r="R34" i="11" s="1"/>
  <c r="S34" i="11" s="1"/>
  <c r="L2" i="13"/>
  <c r="M2" i="13" s="1"/>
  <c r="P41" i="11"/>
  <c r="Q33" i="11"/>
  <c r="R33" i="11" s="1"/>
  <c r="S33" i="11" s="1"/>
  <c r="T41" i="11"/>
  <c r="U41" i="11" s="1"/>
  <c r="V41" i="11" s="1"/>
  <c r="L19" i="11"/>
  <c r="M19" i="11" s="1"/>
  <c r="Q44" i="11"/>
  <c r="R44" i="11" s="1"/>
  <c r="S44" i="11" s="1"/>
  <c r="Q48" i="11"/>
  <c r="R48" i="11" s="1"/>
  <c r="S48" i="11" s="1"/>
  <c r="L8" i="14"/>
  <c r="Q5" i="14"/>
  <c r="R5" i="14" s="1"/>
  <c r="S5" i="14" s="1"/>
  <c r="L51" i="11"/>
  <c r="L47" i="13"/>
  <c r="M47" i="13" s="1"/>
  <c r="O47" i="13" s="1"/>
  <c r="L17" i="13"/>
  <c r="M17" i="13" s="1"/>
  <c r="O17" i="13" s="1"/>
  <c r="Q36" i="11"/>
  <c r="R36" i="11" s="1"/>
  <c r="S36" i="11" s="1"/>
  <c r="L4" i="11"/>
  <c r="Z38" i="13"/>
  <c r="AA38" i="13" s="1"/>
  <c r="AB38" i="13" s="1"/>
  <c r="L6" i="14"/>
  <c r="T38" i="13"/>
  <c r="U38" i="13" s="1"/>
  <c r="V38" i="13" s="1"/>
  <c r="L27" i="13"/>
  <c r="L17" i="11"/>
  <c r="M17" i="11" s="1"/>
  <c r="L31" i="13"/>
  <c r="T2" i="14"/>
  <c r="U2" i="14" s="1"/>
  <c r="V2" i="14" s="1"/>
  <c r="L32" i="11"/>
  <c r="L39" i="13"/>
  <c r="L7" i="13"/>
  <c r="M7" i="13" s="1"/>
  <c r="O7" i="13" s="1"/>
  <c r="T44" i="11"/>
  <c r="U44" i="11" s="1"/>
  <c r="V44" i="11" s="1"/>
  <c r="Q45" i="11"/>
  <c r="R45" i="11" s="1"/>
  <c r="S45" i="11" s="1"/>
  <c r="W20" i="13"/>
  <c r="X20" i="13" s="1"/>
  <c r="Y20" i="13" s="1"/>
  <c r="L11" i="11"/>
  <c r="T29" i="11"/>
  <c r="U29" i="11" s="1"/>
  <c r="V29" i="11" s="1"/>
  <c r="T50" i="11"/>
  <c r="U50" i="11" s="1"/>
  <c r="V50" i="11" s="1"/>
  <c r="L28" i="11"/>
  <c r="P43" i="11"/>
  <c r="Q28" i="11"/>
  <c r="R28" i="11" s="1"/>
  <c r="S28" i="11" s="1"/>
  <c r="L23" i="11"/>
  <c r="M23" i="11" s="1"/>
  <c r="T5" i="14"/>
  <c r="U5" i="14" s="1"/>
  <c r="V5" i="14" s="1"/>
  <c r="L36" i="11"/>
  <c r="L8" i="11"/>
  <c r="T47" i="11"/>
  <c r="U47" i="11" s="1"/>
  <c r="V47" i="11" s="1"/>
  <c r="L42" i="11"/>
  <c r="L12" i="11"/>
  <c r="L45" i="11"/>
  <c r="W39" i="13"/>
  <c r="X39" i="13" s="1"/>
  <c r="Y39" i="13" s="1"/>
  <c r="L38" i="13"/>
  <c r="Z20" i="13"/>
  <c r="AA20" i="13" s="1"/>
  <c r="AB20" i="13" s="1"/>
  <c r="T49" i="11"/>
  <c r="U49" i="11" s="1"/>
  <c r="V49" i="11" s="1"/>
  <c r="T19" i="13"/>
  <c r="U19" i="13" s="1"/>
  <c r="V19" i="13" s="1"/>
  <c r="P4" i="14"/>
  <c r="P44" i="11"/>
  <c r="T39" i="13"/>
  <c r="U39" i="13" s="1"/>
  <c r="V39" i="13" s="1"/>
  <c r="L23" i="13"/>
  <c r="M22" i="13" s="1"/>
  <c r="O3" i="14"/>
  <c r="Q38" i="11"/>
  <c r="R38" i="11" s="1"/>
  <c r="S38" i="11" s="1"/>
  <c r="L24" i="13"/>
  <c r="L5" i="14"/>
  <c r="P39" i="13"/>
  <c r="Q31" i="11"/>
  <c r="R31" i="11" s="1"/>
  <c r="S31" i="11" s="1"/>
  <c r="L9" i="11"/>
  <c r="L16" i="13"/>
  <c r="M16" i="13" s="1"/>
  <c r="O16" i="13" s="1"/>
  <c r="L44" i="11"/>
  <c r="Q7" i="14"/>
  <c r="R7" i="14" s="1"/>
  <c r="S7" i="14" s="1"/>
  <c r="T51" i="11"/>
  <c r="U51" i="11" s="1"/>
  <c r="V51" i="11" s="1"/>
  <c r="T31" i="11"/>
  <c r="U31" i="11" s="1"/>
  <c r="V31" i="11" s="1"/>
  <c r="L20" i="13"/>
  <c r="L12" i="13"/>
  <c r="M12" i="13" s="1"/>
  <c r="O12" i="13" s="1"/>
  <c r="L13" i="13"/>
  <c r="M13" i="13" s="1"/>
  <c r="O13" i="13" s="1"/>
  <c r="Q49" i="11"/>
  <c r="R49" i="11" s="1"/>
  <c r="S49" i="11" s="1"/>
  <c r="L50" i="11"/>
  <c r="P33" i="11"/>
  <c r="Q38" i="13"/>
  <c r="R38" i="13" s="1"/>
  <c r="S38" i="13" s="1"/>
  <c r="L34" i="11"/>
  <c r="T6" i="14"/>
  <c r="U6" i="14" s="1"/>
  <c r="V6" i="14" s="1"/>
  <c r="L40" i="13"/>
  <c r="M40" i="13" s="1"/>
  <c r="O40" i="13" s="1"/>
  <c r="P37" i="11"/>
  <c r="P45" i="11"/>
  <c r="T32" i="11"/>
  <c r="U32" i="11" s="1"/>
  <c r="V32" i="11" s="1"/>
  <c r="L43" i="13"/>
  <c r="M43" i="13" s="1"/>
  <c r="O43" i="13" s="1"/>
  <c r="P48" i="11"/>
  <c r="T30" i="11"/>
  <c r="U30" i="11" s="1"/>
  <c r="V30" i="11" s="1"/>
  <c r="L3" i="11"/>
  <c r="L5" i="13"/>
  <c r="M5" i="13" s="1"/>
  <c r="O5" i="13" s="1"/>
  <c r="T33" i="11"/>
  <c r="U33" i="11" s="1"/>
  <c r="V33" i="11" s="1"/>
  <c r="Q39" i="11"/>
  <c r="R39" i="11" s="1"/>
  <c r="S39" i="11" s="1"/>
  <c r="L22" i="13"/>
  <c r="L14" i="11"/>
  <c r="P6" i="14"/>
  <c r="Q19" i="13"/>
  <c r="R19" i="13" s="1"/>
  <c r="S19" i="13" s="1"/>
  <c r="L7" i="11"/>
  <c r="Q41" i="11"/>
  <c r="R41" i="11" s="1"/>
  <c r="S41" i="11" s="1"/>
  <c r="L4" i="14"/>
  <c r="L49" i="11"/>
  <c r="L20" i="11"/>
  <c r="M20" i="11" s="1"/>
  <c r="P5" i="14"/>
  <c r="Z19" i="13"/>
  <c r="AA19" i="13" s="1"/>
  <c r="AB19" i="13" s="1"/>
  <c r="T42" i="11"/>
  <c r="U42" i="11" s="1"/>
  <c r="V42" i="11" s="1"/>
  <c r="L33" i="11"/>
  <c r="P34" i="11"/>
  <c r="L19" i="13"/>
  <c r="E4" i="16"/>
  <c r="G4" i="16"/>
  <c r="H4" i="16" s="1"/>
  <c r="G8" i="16"/>
  <c r="H8" i="16" s="1"/>
  <c r="E8" i="16"/>
  <c r="E3" i="16"/>
  <c r="G3" i="16"/>
  <c r="H3" i="16" s="1"/>
  <c r="E2" i="16"/>
  <c r="G2" i="16"/>
  <c r="H2" i="16" s="1"/>
  <c r="E5" i="16"/>
  <c r="G5" i="16"/>
  <c r="H5" i="16" s="1"/>
  <c r="G6" i="16"/>
  <c r="H6" i="16" s="1"/>
  <c r="E6" i="16"/>
  <c r="H13" i="16"/>
  <c r="G12" i="16"/>
  <c r="B17" i="16"/>
  <c r="E14" i="16"/>
  <c r="F15" i="16"/>
  <c r="H18" i="16"/>
  <c r="C16" i="16"/>
  <c r="E16" i="16"/>
  <c r="F13" i="16"/>
  <c r="F45" i="16" s="1"/>
  <c r="B12" i="16"/>
  <c r="B44" i="16" s="1"/>
  <c r="F17" i="16"/>
  <c r="F14" i="16"/>
  <c r="G15" i="16"/>
  <c r="B18" i="16"/>
  <c r="G16" i="16"/>
  <c r="G13" i="16"/>
  <c r="C12" i="16"/>
  <c r="I12" i="16"/>
  <c r="E17" i="16"/>
  <c r="H14" i="16"/>
  <c r="H46" i="16" s="1"/>
  <c r="H15" i="16"/>
  <c r="H39" i="16" s="1"/>
  <c r="G18" i="16"/>
  <c r="G50" i="16" s="1"/>
  <c r="H16" i="16"/>
  <c r="H40" i="16" s="1"/>
  <c r="G45" i="16"/>
  <c r="C36" i="16"/>
  <c r="I44" i="16"/>
  <c r="E46" i="16"/>
  <c r="F39" i="16"/>
  <c r="H42" i="16"/>
  <c r="C40" i="16"/>
  <c r="E48" i="16"/>
  <c r="J13" i="16"/>
  <c r="D12" i="16"/>
  <c r="H17" i="16"/>
  <c r="G17" i="16"/>
  <c r="D14" i="16"/>
  <c r="D46" i="16" s="1"/>
  <c r="D15" i="16"/>
  <c r="D39" i="16" s="1"/>
  <c r="C18" i="16"/>
  <c r="C42" i="16" s="1"/>
  <c r="J16" i="16"/>
  <c r="J40" i="16" s="1"/>
  <c r="G37" i="16"/>
  <c r="C44" i="16"/>
  <c r="I36" i="16"/>
  <c r="E38" i="16"/>
  <c r="D38" i="16"/>
  <c r="F47" i="16"/>
  <c r="D47" i="16"/>
  <c r="H50" i="16"/>
  <c r="C50" i="16"/>
  <c r="C48" i="16"/>
  <c r="J48" i="16"/>
  <c r="E40" i="16"/>
  <c r="I13" i="16"/>
  <c r="I37" i="16" s="1"/>
  <c r="F12" i="16"/>
  <c r="F44" i="16" s="1"/>
  <c r="I17" i="16"/>
  <c r="I14" i="16"/>
  <c r="G14" i="16"/>
  <c r="J15" i="16"/>
  <c r="E18" i="16"/>
  <c r="I16" i="16"/>
  <c r="J37" i="16"/>
  <c r="H37" i="16"/>
  <c r="D36" i="16"/>
  <c r="G44" i="16"/>
  <c r="I46" i="16"/>
  <c r="F38" i="16"/>
  <c r="G38" i="16"/>
  <c r="G47" i="16"/>
  <c r="J47" i="16"/>
  <c r="B50" i="16"/>
  <c r="E42" i="16"/>
  <c r="G40" i="16"/>
  <c r="I48" i="16"/>
  <c r="B13" i="16"/>
  <c r="B45" i="16" s="1"/>
  <c r="E12" i="16"/>
  <c r="E36" i="16" s="1"/>
  <c r="D17" i="16"/>
  <c r="J14" i="16"/>
  <c r="J46" i="16" s="1"/>
  <c r="B15" i="16"/>
  <c r="B47" i="16" s="1"/>
  <c r="C15" i="16"/>
  <c r="C47" i="16" s="1"/>
  <c r="J18" i="16"/>
  <c r="J50" i="16" s="1"/>
  <c r="B16" i="16"/>
  <c r="B40" i="16" s="1"/>
  <c r="J45" i="16"/>
  <c r="H45" i="16"/>
  <c r="D44" i="16"/>
  <c r="G36" i="16"/>
  <c r="I38" i="16"/>
  <c r="F46" i="16"/>
  <c r="G46" i="16"/>
  <c r="G39" i="16"/>
  <c r="J39" i="16"/>
  <c r="B42" i="16"/>
  <c r="E50" i="16"/>
  <c r="G48" i="16"/>
  <c r="I40" i="16"/>
  <c r="C13" i="16"/>
  <c r="H12" i="16"/>
  <c r="J17" i="16"/>
  <c r="B14" i="16"/>
  <c r="B46" i="16" s="1"/>
  <c r="E15" i="16"/>
  <c r="E39" i="16" s="1"/>
  <c r="F18" i="16"/>
  <c r="F50" i="16" s="1"/>
  <c r="I18" i="16"/>
  <c r="I42" i="16" s="1"/>
  <c r="F16" i="16"/>
  <c r="F40" i="16" s="1"/>
  <c r="I45" i="16"/>
  <c r="F37" i="16"/>
  <c r="F36" i="16"/>
  <c r="B36" i="16"/>
  <c r="J38" i="16"/>
  <c r="B39" i="16"/>
  <c r="C39" i="16"/>
  <c r="J42" i="16"/>
  <c r="B48" i="16"/>
  <c r="E13" i="16"/>
  <c r="E45" i="16" s="1"/>
  <c r="D13" i="16"/>
  <c r="D45" i="16" s="1"/>
  <c r="J12" i="16"/>
  <c r="J36" i="16" s="1"/>
  <c r="C17" i="16"/>
  <c r="C14" i="16"/>
  <c r="I15" i="16"/>
  <c r="D18" i="16"/>
  <c r="D16" i="16"/>
  <c r="E37" i="16"/>
  <c r="B37" i="16"/>
  <c r="D37" i="16"/>
  <c r="E44" i="16"/>
  <c r="J44" i="16"/>
  <c r="B38" i="16"/>
  <c r="H38" i="16"/>
  <c r="E47" i="16"/>
  <c r="H47" i="16"/>
  <c r="F42" i="16"/>
  <c r="G42" i="16"/>
  <c r="I50" i="16"/>
  <c r="H48" i="16"/>
  <c r="F48" i="16"/>
  <c r="C37" i="16"/>
  <c r="C45" i="16"/>
  <c r="H44" i="16"/>
  <c r="H36" i="16"/>
  <c r="C38" i="16"/>
  <c r="C46" i="16"/>
  <c r="I39" i="16"/>
  <c r="I47" i="16"/>
  <c r="D50" i="16"/>
  <c r="D42" i="16"/>
  <c r="D48" i="16"/>
  <c r="D40" i="16"/>
  <c r="M23" i="13" l="1"/>
  <c r="O22" i="13"/>
  <c r="K48" i="16"/>
  <c r="K50" i="16"/>
  <c r="K47" i="16"/>
  <c r="K46" i="16"/>
  <c r="K44" i="16"/>
  <c r="K45" i="16"/>
  <c r="E24" i="16"/>
  <c r="F24" i="16"/>
  <c r="B24" i="16"/>
  <c r="I24" i="16"/>
  <c r="J24" i="16"/>
  <c r="H24" i="16"/>
  <c r="D24" i="16"/>
  <c r="G24" i="16"/>
  <c r="C24" i="16"/>
  <c r="I26" i="16"/>
  <c r="J26" i="16"/>
  <c r="E26" i="16"/>
  <c r="C26" i="16"/>
  <c r="G26" i="16"/>
  <c r="D26" i="16"/>
  <c r="B26" i="16"/>
  <c r="H26" i="16"/>
  <c r="F26" i="16"/>
  <c r="C23" i="16"/>
  <c r="J23" i="16"/>
  <c r="D23" i="16"/>
  <c r="H23" i="16"/>
  <c r="I23" i="16"/>
  <c r="G23" i="16"/>
  <c r="F23" i="16"/>
  <c r="E23" i="16"/>
  <c r="B23" i="16"/>
  <c r="G22" i="16"/>
  <c r="D22" i="16"/>
  <c r="H22" i="16"/>
  <c r="C22" i="16"/>
  <c r="F22" i="16"/>
  <c r="E22" i="16"/>
  <c r="B22" i="16"/>
  <c r="J22" i="16"/>
  <c r="I22" i="16"/>
  <c r="G25" i="16"/>
  <c r="E25" i="16"/>
  <c r="C25" i="16"/>
  <c r="F25" i="16"/>
  <c r="B25" i="16"/>
  <c r="J25" i="16"/>
  <c r="D25" i="16"/>
  <c r="I25" i="16"/>
  <c r="H25" i="16"/>
  <c r="I20" i="16"/>
  <c r="J20" i="16"/>
  <c r="B20" i="16"/>
  <c r="G20" i="16"/>
  <c r="H20" i="16"/>
  <c r="E20" i="16"/>
  <c r="F20" i="16"/>
  <c r="D20" i="16"/>
  <c r="C20" i="16"/>
  <c r="D21" i="16"/>
  <c r="F21" i="16"/>
  <c r="H21" i="16"/>
  <c r="C21" i="16"/>
  <c r="B21" i="16"/>
  <c r="I21" i="16"/>
  <c r="J21" i="16"/>
  <c r="G21" i="16"/>
  <c r="E21" i="16"/>
  <c r="T17" i="13"/>
  <c r="U17" i="13" s="1"/>
  <c r="V17" i="13" s="1"/>
  <c r="Q17" i="13"/>
  <c r="R17" i="13" s="1"/>
  <c r="S17" i="13" s="1"/>
  <c r="P17" i="13"/>
  <c r="W17" i="13"/>
  <c r="X17" i="13" s="1"/>
  <c r="Y17" i="13" s="1"/>
  <c r="Z17" i="13"/>
  <c r="AA17" i="13" s="1"/>
  <c r="AB17" i="13" s="1"/>
  <c r="P6" i="13"/>
  <c r="T6" i="13"/>
  <c r="U6" i="13" s="1"/>
  <c r="V6" i="13" s="1"/>
  <c r="Z6" i="13"/>
  <c r="AA6" i="13" s="1"/>
  <c r="AB6" i="13" s="1"/>
  <c r="W6" i="13"/>
  <c r="X6" i="13" s="1"/>
  <c r="Y6" i="13" s="1"/>
  <c r="Q6" i="13"/>
  <c r="R6" i="13" s="1"/>
  <c r="S6" i="13" s="1"/>
  <c r="O20" i="11"/>
  <c r="Z16" i="13"/>
  <c r="AA16" i="13" s="1"/>
  <c r="AB16" i="13" s="1"/>
  <c r="W16" i="13"/>
  <c r="X16" i="13" s="1"/>
  <c r="Y16" i="13" s="1"/>
  <c r="P16" i="13"/>
  <c r="T16" i="13"/>
  <c r="U16" i="13" s="1"/>
  <c r="V16" i="13" s="1"/>
  <c r="Q16" i="13"/>
  <c r="R16" i="13" s="1"/>
  <c r="S16" i="13" s="1"/>
  <c r="M12" i="11"/>
  <c r="Z47" i="13"/>
  <c r="AA47" i="13" s="1"/>
  <c r="AB47" i="13" s="1"/>
  <c r="W47" i="13"/>
  <c r="X47" i="13" s="1"/>
  <c r="Y47" i="13" s="1"/>
  <c r="P47" i="13"/>
  <c r="T47" i="13"/>
  <c r="U47" i="13" s="1"/>
  <c r="V47" i="13" s="1"/>
  <c r="Q47" i="13"/>
  <c r="R47" i="13" s="1"/>
  <c r="S47" i="13" s="1"/>
  <c r="O19" i="11"/>
  <c r="M3" i="11"/>
  <c r="M14" i="11"/>
  <c r="M8" i="11"/>
  <c r="Q14" i="13"/>
  <c r="R14" i="13" s="1"/>
  <c r="S14" i="13" s="1"/>
  <c r="Z14" i="13"/>
  <c r="AA14" i="13" s="1"/>
  <c r="AB14" i="13" s="1"/>
  <c r="W14" i="13"/>
  <c r="X14" i="13" s="1"/>
  <c r="Y14" i="13" s="1"/>
  <c r="T14" i="13"/>
  <c r="U14" i="13" s="1"/>
  <c r="V14" i="13" s="1"/>
  <c r="P14" i="13"/>
  <c r="Q3" i="13"/>
  <c r="R3" i="13" s="1"/>
  <c r="S3" i="13" s="1"/>
  <c r="Z3" i="13"/>
  <c r="AA3" i="13" s="1"/>
  <c r="AB3" i="13" s="1"/>
  <c r="P3" i="13"/>
  <c r="T3" i="13"/>
  <c r="U3" i="13" s="1"/>
  <c r="V3" i="13" s="1"/>
  <c r="W3" i="13"/>
  <c r="X3" i="13" s="1"/>
  <c r="Y3" i="13" s="1"/>
  <c r="W42" i="13"/>
  <c r="X42" i="13" s="1"/>
  <c r="Y42" i="13" s="1"/>
  <c r="T42" i="13"/>
  <c r="U42" i="13" s="1"/>
  <c r="V42" i="13" s="1"/>
  <c r="P42" i="13"/>
  <c r="Z42" i="13"/>
  <c r="AA42" i="13" s="1"/>
  <c r="AB42" i="13" s="1"/>
  <c r="Q42" i="13"/>
  <c r="R42" i="13" s="1"/>
  <c r="S42" i="13" s="1"/>
  <c r="O16" i="11"/>
  <c r="T41" i="13"/>
  <c r="U41" i="13" s="1"/>
  <c r="V41" i="13" s="1"/>
  <c r="P41" i="13"/>
  <c r="Z41" i="13"/>
  <c r="AA41" i="13" s="1"/>
  <c r="AB41" i="13" s="1"/>
  <c r="Q41" i="13"/>
  <c r="R41" i="13" s="1"/>
  <c r="S41" i="13" s="1"/>
  <c r="W41" i="13"/>
  <c r="X41" i="13" s="1"/>
  <c r="Y41" i="13" s="1"/>
  <c r="M6" i="11"/>
  <c r="T12" i="13"/>
  <c r="U12" i="13" s="1"/>
  <c r="V12" i="13" s="1"/>
  <c r="P12" i="13"/>
  <c r="W12" i="13"/>
  <c r="X12" i="13" s="1"/>
  <c r="Y12" i="13" s="1"/>
  <c r="Z12" i="13"/>
  <c r="AA12" i="13" s="1"/>
  <c r="AB12" i="13" s="1"/>
  <c r="Q12" i="13"/>
  <c r="R12" i="13" s="1"/>
  <c r="S12" i="13" s="1"/>
  <c r="M9" i="11"/>
  <c r="Q7" i="13"/>
  <c r="R7" i="13" s="1"/>
  <c r="S7" i="13" s="1"/>
  <c r="W7" i="13"/>
  <c r="X7" i="13" s="1"/>
  <c r="Y7" i="13" s="1"/>
  <c r="P7" i="13"/>
  <c r="Z7" i="13"/>
  <c r="AA7" i="13" s="1"/>
  <c r="AB7" i="13" s="1"/>
  <c r="T7" i="13"/>
  <c r="U7" i="13" s="1"/>
  <c r="V7" i="13" s="1"/>
  <c r="P3" i="14"/>
  <c r="Q3" i="14"/>
  <c r="R3" i="14" s="1"/>
  <c r="S3" i="14" s="1"/>
  <c r="T3" i="14"/>
  <c r="U3" i="14" s="1"/>
  <c r="V3" i="14" s="1"/>
  <c r="M11" i="11"/>
  <c r="T48" i="13"/>
  <c r="U48" i="13" s="1"/>
  <c r="V48" i="13" s="1"/>
  <c r="W48" i="13"/>
  <c r="X48" i="13" s="1"/>
  <c r="Y48" i="13" s="1"/>
  <c r="Z48" i="13"/>
  <c r="AA48" i="13" s="1"/>
  <c r="AB48" i="13" s="1"/>
  <c r="P48" i="13"/>
  <c r="Q48" i="13"/>
  <c r="R48" i="13" s="1"/>
  <c r="S48" i="13" s="1"/>
  <c r="O2" i="11"/>
  <c r="M4" i="11"/>
  <c r="M13" i="11"/>
  <c r="Z4" i="13"/>
  <c r="AA4" i="13" s="1"/>
  <c r="AB4" i="13" s="1"/>
  <c r="P4" i="13"/>
  <c r="Q4" i="13"/>
  <c r="R4" i="13" s="1"/>
  <c r="S4" i="13" s="1"/>
  <c r="T4" i="13"/>
  <c r="U4" i="13" s="1"/>
  <c r="V4" i="13" s="1"/>
  <c r="W4" i="13"/>
  <c r="X4" i="13" s="1"/>
  <c r="Y4" i="13" s="1"/>
  <c r="W40" i="13"/>
  <c r="X40" i="13" s="1"/>
  <c r="Y40" i="13" s="1"/>
  <c r="Q40" i="13"/>
  <c r="R40" i="13" s="1"/>
  <c r="S40" i="13" s="1"/>
  <c r="P40" i="13"/>
  <c r="Z40" i="13"/>
  <c r="AA40" i="13" s="1"/>
  <c r="AB40" i="13" s="1"/>
  <c r="T40" i="13"/>
  <c r="U40" i="13" s="1"/>
  <c r="V40" i="13" s="1"/>
  <c r="O23" i="11"/>
  <c r="O2" i="13"/>
  <c r="O21" i="11"/>
  <c r="Q15" i="16"/>
  <c r="L7" i="16"/>
  <c r="Z11" i="13"/>
  <c r="AA11" i="13" s="1"/>
  <c r="AB11" i="13" s="1"/>
  <c r="W11" i="13"/>
  <c r="X11" i="13" s="1"/>
  <c r="Y11" i="13" s="1"/>
  <c r="P11" i="13"/>
  <c r="Q11" i="13"/>
  <c r="R11" i="13" s="1"/>
  <c r="S11" i="13" s="1"/>
  <c r="T11" i="13"/>
  <c r="U11" i="13" s="1"/>
  <c r="V11" i="13" s="1"/>
  <c r="M7" i="11"/>
  <c r="Q43" i="13"/>
  <c r="R43" i="13" s="1"/>
  <c r="S43" i="13" s="1"/>
  <c r="T43" i="13"/>
  <c r="U43" i="13" s="1"/>
  <c r="V43" i="13" s="1"/>
  <c r="P43" i="13"/>
  <c r="W43" i="13"/>
  <c r="X43" i="13" s="1"/>
  <c r="Y43" i="13" s="1"/>
  <c r="Z43" i="13"/>
  <c r="AA43" i="13" s="1"/>
  <c r="AB43" i="13" s="1"/>
  <c r="P13" i="13"/>
  <c r="W13" i="13"/>
  <c r="X13" i="13" s="1"/>
  <c r="Y13" i="13" s="1"/>
  <c r="T13" i="13"/>
  <c r="U13" i="13" s="1"/>
  <c r="V13" i="13" s="1"/>
  <c r="Q13" i="13"/>
  <c r="R13" i="13" s="1"/>
  <c r="S13" i="13" s="1"/>
  <c r="Z13" i="13"/>
  <c r="AA13" i="13" s="1"/>
  <c r="AB13" i="13" s="1"/>
  <c r="O17" i="11"/>
  <c r="O22" i="11"/>
  <c r="O18" i="11"/>
  <c r="W5" i="13"/>
  <c r="X5" i="13" s="1"/>
  <c r="Y5" i="13" s="1"/>
  <c r="T5" i="13"/>
  <c r="U5" i="13" s="1"/>
  <c r="V5" i="13" s="1"/>
  <c r="Q5" i="13"/>
  <c r="R5" i="13" s="1"/>
  <c r="S5" i="13" s="1"/>
  <c r="Z5" i="13"/>
  <c r="AA5" i="13" s="1"/>
  <c r="AB5" i="13" s="1"/>
  <c r="P5" i="13"/>
  <c r="M5" i="11"/>
  <c r="O15" i="11"/>
  <c r="T10" i="13"/>
  <c r="U10" i="13" s="1"/>
  <c r="V10" i="13" s="1"/>
  <c r="Z10" i="13"/>
  <c r="AA10" i="13" s="1"/>
  <c r="AB10" i="13" s="1"/>
  <c r="P10" i="13"/>
  <c r="Q10" i="13"/>
  <c r="R10" i="13" s="1"/>
  <c r="S10" i="13" s="1"/>
  <c r="W10" i="13"/>
  <c r="X10" i="13" s="1"/>
  <c r="Y10" i="13" s="1"/>
  <c r="M10" i="11"/>
  <c r="P45" i="13"/>
  <c r="Q45" i="13"/>
  <c r="R45" i="13" s="1"/>
  <c r="S45" i="13" s="1"/>
  <c r="T45" i="13"/>
  <c r="U45" i="13" s="1"/>
  <c r="V45" i="13" s="1"/>
  <c r="Z45" i="13"/>
  <c r="AA45" i="13" s="1"/>
  <c r="AB45" i="13" s="1"/>
  <c r="W45" i="13"/>
  <c r="X45" i="13" s="1"/>
  <c r="Y45" i="13" s="1"/>
  <c r="T46" i="13"/>
  <c r="U46" i="13" s="1"/>
  <c r="V46" i="13" s="1"/>
  <c r="Z46" i="13"/>
  <c r="AA46" i="13" s="1"/>
  <c r="AB46" i="13" s="1"/>
  <c r="Q46" i="13"/>
  <c r="R46" i="13" s="1"/>
  <c r="S46" i="13" s="1"/>
  <c r="W46" i="13"/>
  <c r="X46" i="13" s="1"/>
  <c r="Y46" i="13" s="1"/>
  <c r="P46" i="13"/>
  <c r="N121" i="1"/>
  <c r="N108" i="1"/>
  <c r="N103" i="1"/>
  <c r="N153" i="1"/>
  <c r="N135" i="1"/>
  <c r="N109" i="1"/>
  <c r="N99" i="1"/>
  <c r="N158" i="1"/>
  <c r="N132" i="1"/>
  <c r="N152" i="1"/>
  <c r="N114" i="1"/>
  <c r="N156" i="1"/>
  <c r="N120" i="1"/>
  <c r="N142" i="1"/>
  <c r="N145" i="1"/>
  <c r="N105" i="1"/>
  <c r="N117" i="1"/>
  <c r="N104" i="1"/>
  <c r="N127" i="1"/>
  <c r="N113" i="1"/>
  <c r="N110" i="1"/>
  <c r="N159" i="1"/>
  <c r="N157" i="1"/>
  <c r="N126" i="1"/>
  <c r="N136" i="1"/>
  <c r="N138" i="1"/>
  <c r="N115" i="1"/>
  <c r="N107" i="1"/>
  <c r="N154" i="1"/>
  <c r="N140" i="1"/>
  <c r="N141" i="1"/>
  <c r="N144" i="1"/>
  <c r="N106" i="1"/>
  <c r="N116" i="1"/>
  <c r="N118" i="1"/>
  <c r="N143" i="1"/>
  <c r="N98" i="1"/>
  <c r="N147" i="1"/>
  <c r="N119" i="1"/>
  <c r="N131" i="1"/>
  <c r="N146" i="1"/>
  <c r="N94" i="1"/>
  <c r="N100" i="1"/>
  <c r="N148" i="1"/>
  <c r="N122" i="1"/>
  <c r="N129" i="1"/>
  <c r="N137" i="1"/>
  <c r="N97" i="1"/>
  <c r="N95" i="1"/>
  <c r="N139" i="1"/>
  <c r="N155" i="1"/>
  <c r="N130" i="1"/>
  <c r="N149" i="1"/>
  <c r="N102" i="1"/>
  <c r="N111" i="1"/>
  <c r="N125" i="1"/>
  <c r="N133" i="1"/>
  <c r="N123" i="1"/>
  <c r="N134" i="1"/>
  <c r="N128" i="1"/>
  <c r="N124" i="1"/>
  <c r="N150" i="1"/>
  <c r="N112" i="1"/>
  <c r="N101" i="1"/>
  <c r="N151" i="1"/>
  <c r="N96" i="1"/>
  <c r="R2" i="14"/>
  <c r="S2" i="14" s="1"/>
  <c r="T15" i="13"/>
  <c r="U15" i="13" s="1"/>
  <c r="V15" i="13" s="1"/>
  <c r="W15" i="13"/>
  <c r="X15" i="13" s="1"/>
  <c r="Y15" i="13" s="1"/>
  <c r="Q15" i="13"/>
  <c r="R15" i="13" s="1"/>
  <c r="S15" i="13" s="1"/>
  <c r="P15" i="13"/>
  <c r="Z15" i="13"/>
  <c r="AA15" i="13" s="1"/>
  <c r="AB15" i="13" s="1"/>
  <c r="W44" i="13"/>
  <c r="X44" i="13" s="1"/>
  <c r="Y44" i="13" s="1"/>
  <c r="P44" i="13"/>
  <c r="Q44" i="13"/>
  <c r="R44" i="13" s="1"/>
  <c r="S44" i="13" s="1"/>
  <c r="Z44" i="13"/>
  <c r="AA44" i="13" s="1"/>
  <c r="AB44" i="13" s="1"/>
  <c r="T44" i="13"/>
  <c r="U44" i="13" s="1"/>
  <c r="V44" i="13" s="1"/>
  <c r="E49" i="16"/>
  <c r="J41" i="16"/>
  <c r="C41" i="16"/>
  <c r="D49" i="16"/>
  <c r="C49" i="16"/>
  <c r="D41" i="16"/>
  <c r="G41" i="16"/>
  <c r="B49" i="16"/>
  <c r="H41" i="16"/>
  <c r="E41" i="16"/>
  <c r="J49" i="16"/>
  <c r="F41" i="16"/>
  <c r="I49" i="16"/>
  <c r="G49" i="16"/>
  <c r="B41" i="16"/>
  <c r="H49" i="16"/>
  <c r="F49" i="16"/>
  <c r="I41" i="16"/>
  <c r="P22" i="13" l="1"/>
  <c r="Z22" i="13"/>
  <c r="AA22" i="13" s="1"/>
  <c r="AB22" i="13" s="1"/>
  <c r="W22" i="13"/>
  <c r="X22" i="13" s="1"/>
  <c r="Y22" i="13" s="1"/>
  <c r="Q22" i="13"/>
  <c r="R22" i="13" s="1"/>
  <c r="S22" i="13" s="1"/>
  <c r="T22" i="13"/>
  <c r="U22" i="13" s="1"/>
  <c r="V22" i="13" s="1"/>
  <c r="M24" i="13"/>
  <c r="O23" i="13"/>
  <c r="K49" i="16"/>
  <c r="T22" i="11"/>
  <c r="U22" i="11" s="1"/>
  <c r="V22" i="11" s="1"/>
  <c r="P22" i="11"/>
  <c r="Q22" i="11"/>
  <c r="R22" i="11" s="1"/>
  <c r="S22" i="11" s="1"/>
  <c r="O7" i="11"/>
  <c r="P23" i="11"/>
  <c r="T23" i="11"/>
  <c r="U23" i="11" s="1"/>
  <c r="V23" i="11" s="1"/>
  <c r="Q23" i="11"/>
  <c r="R23" i="11" s="1"/>
  <c r="S23" i="11" s="1"/>
  <c r="O11" i="11"/>
  <c r="O6" i="11"/>
  <c r="P19" i="11"/>
  <c r="T19" i="11"/>
  <c r="U19" i="11" s="1"/>
  <c r="V19" i="11" s="1"/>
  <c r="Q19" i="11"/>
  <c r="R19" i="11" s="1"/>
  <c r="S19" i="11" s="1"/>
  <c r="T20" i="11"/>
  <c r="U20" i="11" s="1"/>
  <c r="V20" i="11" s="1"/>
  <c r="P20" i="11"/>
  <c r="Q20" i="11"/>
  <c r="R20" i="11" s="1"/>
  <c r="S20" i="11" s="1"/>
  <c r="T15" i="11"/>
  <c r="U15" i="11" s="1"/>
  <c r="V15" i="11" s="1"/>
  <c r="P15" i="11"/>
  <c r="Q15" i="11"/>
  <c r="R15" i="11" s="1"/>
  <c r="S15" i="11" s="1"/>
  <c r="P17" i="11"/>
  <c r="Q17" i="11"/>
  <c r="R17" i="11" s="1"/>
  <c r="S17" i="11" s="1"/>
  <c r="T17" i="11"/>
  <c r="U17" i="11" s="1"/>
  <c r="V17" i="11" s="1"/>
  <c r="R15" i="16"/>
  <c r="Q14" i="16"/>
  <c r="O10" i="16"/>
  <c r="B55" i="16"/>
  <c r="F55" i="16"/>
  <c r="D55" i="16"/>
  <c r="E55" i="16"/>
  <c r="C55" i="16"/>
  <c r="O10" i="11"/>
  <c r="O5" i="11"/>
  <c r="O14" i="11"/>
  <c r="C54" i="16"/>
  <c r="D54" i="16"/>
  <c r="B54" i="16"/>
  <c r="F54" i="16"/>
  <c r="E54" i="16"/>
  <c r="Q18" i="11"/>
  <c r="R18" i="11" s="1"/>
  <c r="S18" i="11" s="1"/>
  <c r="T18" i="11"/>
  <c r="U18" i="11" s="1"/>
  <c r="V18" i="11" s="1"/>
  <c r="P18" i="11"/>
  <c r="Q2" i="11"/>
  <c r="R2" i="11" s="1"/>
  <c r="S2" i="11" s="1"/>
  <c r="P2" i="11"/>
  <c r="T2" i="11"/>
  <c r="U2" i="11" s="1"/>
  <c r="V2" i="11" s="1"/>
  <c r="F56" i="16"/>
  <c r="D56" i="16"/>
  <c r="E56" i="16"/>
  <c r="C56" i="16"/>
  <c r="B56" i="16"/>
  <c r="T21" i="11"/>
  <c r="U21" i="11" s="1"/>
  <c r="V21" i="11" s="1"/>
  <c r="P21" i="11"/>
  <c r="Q21" i="11"/>
  <c r="R21" i="11" s="1"/>
  <c r="S21" i="11" s="1"/>
  <c r="W2" i="13"/>
  <c r="X2" i="13" s="1"/>
  <c r="Y2" i="13" s="1"/>
  <c r="Q2" i="13"/>
  <c r="R2" i="13" s="1"/>
  <c r="S2" i="13" s="1"/>
  <c r="P2" i="13"/>
  <c r="T2" i="13"/>
  <c r="U2" i="13" s="1"/>
  <c r="V2" i="13" s="1"/>
  <c r="Z2" i="13"/>
  <c r="AA2" i="13" s="1"/>
  <c r="AB2" i="13" s="1"/>
  <c r="O13" i="11"/>
  <c r="O3" i="11"/>
  <c r="C57" i="16"/>
  <c r="E57" i="16"/>
  <c r="B57" i="16"/>
  <c r="F57" i="16"/>
  <c r="D57" i="16"/>
  <c r="E60" i="16"/>
  <c r="C60" i="16"/>
  <c r="B60" i="16"/>
  <c r="F60" i="16"/>
  <c r="D60" i="16"/>
  <c r="O4" i="11"/>
  <c r="O9" i="11"/>
  <c r="P16" i="11"/>
  <c r="T16" i="11"/>
  <c r="U16" i="11" s="1"/>
  <c r="V16" i="11" s="1"/>
  <c r="Q16" i="11"/>
  <c r="R16" i="11" s="1"/>
  <c r="S16" i="11" s="1"/>
  <c r="O8" i="11"/>
  <c r="O12" i="11"/>
  <c r="B58" i="16"/>
  <c r="E58" i="16"/>
  <c r="D58" i="16"/>
  <c r="C58" i="16"/>
  <c r="F58" i="16"/>
  <c r="W23" i="13" l="1"/>
  <c r="X23" i="13" s="1"/>
  <c r="Y23" i="13" s="1"/>
  <c r="T23" i="13"/>
  <c r="U23" i="13" s="1"/>
  <c r="V23" i="13" s="1"/>
  <c r="P23" i="13"/>
  <c r="Q23" i="13"/>
  <c r="R23" i="13" s="1"/>
  <c r="S23" i="13" s="1"/>
  <c r="Z23" i="13"/>
  <c r="AA23" i="13" s="1"/>
  <c r="AB23" i="13" s="1"/>
  <c r="M25" i="13"/>
  <c r="O24" i="13"/>
  <c r="Q8" i="11"/>
  <c r="R8" i="11" s="1"/>
  <c r="S8" i="11" s="1"/>
  <c r="P8" i="11"/>
  <c r="T8" i="11"/>
  <c r="U8" i="11" s="1"/>
  <c r="V8" i="11" s="1"/>
  <c r="Q13" i="11"/>
  <c r="R13" i="11" s="1"/>
  <c r="S13" i="11" s="1"/>
  <c r="T13" i="11"/>
  <c r="U13" i="11" s="1"/>
  <c r="V13" i="11" s="1"/>
  <c r="P13" i="11"/>
  <c r="I60" i="16"/>
  <c r="K60" i="16"/>
  <c r="P6" i="11"/>
  <c r="Q6" i="11"/>
  <c r="R6" i="11" s="1"/>
  <c r="S6" i="11" s="1"/>
  <c r="T6" i="11"/>
  <c r="U6" i="11" s="1"/>
  <c r="V6" i="11" s="1"/>
  <c r="P9" i="11"/>
  <c r="Q9" i="11"/>
  <c r="R9" i="11" s="1"/>
  <c r="S9" i="11" s="1"/>
  <c r="T9" i="11"/>
  <c r="U9" i="11" s="1"/>
  <c r="V9" i="11" s="1"/>
  <c r="P14" i="11"/>
  <c r="Q14" i="11"/>
  <c r="R14" i="11" s="1"/>
  <c r="S14" i="11" s="1"/>
  <c r="T14" i="11"/>
  <c r="U14" i="11" s="1"/>
  <c r="V14" i="11" s="1"/>
  <c r="T11" i="11"/>
  <c r="U11" i="11" s="1"/>
  <c r="V11" i="11" s="1"/>
  <c r="Q11" i="11"/>
  <c r="R11" i="11" s="1"/>
  <c r="S11" i="11" s="1"/>
  <c r="P11" i="11"/>
  <c r="P5" i="11"/>
  <c r="T5" i="11"/>
  <c r="U5" i="11" s="1"/>
  <c r="V5" i="11" s="1"/>
  <c r="Q5" i="11"/>
  <c r="R5" i="11" s="1"/>
  <c r="S5" i="11" s="1"/>
  <c r="J55" i="16"/>
  <c r="H55" i="16"/>
  <c r="H60" i="16"/>
  <c r="J60" i="16"/>
  <c r="K57" i="16"/>
  <c r="I57" i="16"/>
  <c r="Q12" i="11"/>
  <c r="R12" i="11" s="1"/>
  <c r="S12" i="11" s="1"/>
  <c r="T12" i="11"/>
  <c r="U12" i="11" s="1"/>
  <c r="V12" i="11" s="1"/>
  <c r="P12" i="11"/>
  <c r="Q4" i="11"/>
  <c r="R4" i="11" s="1"/>
  <c r="S4" i="11" s="1"/>
  <c r="P4" i="11"/>
  <c r="T4" i="11"/>
  <c r="U4" i="11" s="1"/>
  <c r="V4" i="11" s="1"/>
  <c r="H54" i="16"/>
  <c r="J54" i="16"/>
  <c r="P10" i="11"/>
  <c r="Q10" i="11"/>
  <c r="R10" i="11" s="1"/>
  <c r="S10" i="11" s="1"/>
  <c r="T10" i="11"/>
  <c r="U10" i="11" s="1"/>
  <c r="V10" i="11" s="1"/>
  <c r="K55" i="16"/>
  <c r="I55" i="16"/>
  <c r="I54" i="16"/>
  <c r="K54" i="16"/>
  <c r="Q7" i="11"/>
  <c r="R7" i="11" s="1"/>
  <c r="S7" i="11" s="1"/>
  <c r="P7" i="11"/>
  <c r="T7" i="11"/>
  <c r="U7" i="11" s="1"/>
  <c r="V7" i="11" s="1"/>
  <c r="H57" i="16"/>
  <c r="J57" i="16"/>
  <c r="I58" i="16"/>
  <c r="K58" i="16"/>
  <c r="H56" i="16"/>
  <c r="J56" i="16"/>
  <c r="Q3" i="11"/>
  <c r="R3" i="11" s="1"/>
  <c r="S3" i="11" s="1"/>
  <c r="P3" i="11"/>
  <c r="T3" i="11"/>
  <c r="U3" i="11" s="1"/>
  <c r="V3" i="11" s="1"/>
  <c r="J58" i="16"/>
  <c r="H58" i="16"/>
  <c r="K56" i="16"/>
  <c r="I56" i="16"/>
  <c r="C59" i="16"/>
  <c r="D59" i="16"/>
  <c r="F59" i="16"/>
  <c r="B59" i="16"/>
  <c r="E59" i="16"/>
  <c r="T24" i="13" l="1"/>
  <c r="U24" i="13" s="1"/>
  <c r="V24" i="13" s="1"/>
  <c r="W24" i="13"/>
  <c r="X24" i="13" s="1"/>
  <c r="Y24" i="13" s="1"/>
  <c r="Z24" i="13"/>
  <c r="AA24" i="13" s="1"/>
  <c r="AB24" i="13" s="1"/>
  <c r="Q24" i="13"/>
  <c r="R24" i="13" s="1"/>
  <c r="S24" i="13" s="1"/>
  <c r="P24" i="13"/>
  <c r="M26" i="13"/>
  <c r="O25" i="13"/>
  <c r="J59" i="16"/>
  <c r="H59" i="16"/>
  <c r="K59" i="16"/>
  <c r="I59" i="16"/>
  <c r="T25" i="13" l="1"/>
  <c r="U25" i="13" s="1"/>
  <c r="V25" i="13" s="1"/>
  <c r="Z25" i="13"/>
  <c r="AA25" i="13" s="1"/>
  <c r="AB25" i="13" s="1"/>
  <c r="Q25" i="13"/>
  <c r="R25" i="13" s="1"/>
  <c r="S25" i="13" s="1"/>
  <c r="P25" i="13"/>
  <c r="W25" i="13"/>
  <c r="X25" i="13" s="1"/>
  <c r="Y25" i="13" s="1"/>
  <c r="M27" i="13"/>
  <c r="O26" i="13"/>
  <c r="Q26" i="13" l="1"/>
  <c r="R26" i="13" s="1"/>
  <c r="S26" i="13" s="1"/>
  <c r="W26" i="13"/>
  <c r="X26" i="13" s="1"/>
  <c r="Y26" i="13" s="1"/>
  <c r="P26" i="13"/>
  <c r="Z26" i="13"/>
  <c r="AA26" i="13" s="1"/>
  <c r="AB26" i="13" s="1"/>
  <c r="T26" i="13"/>
  <c r="U26" i="13" s="1"/>
  <c r="V26" i="13" s="1"/>
  <c r="M28" i="13"/>
  <c r="O27" i="13"/>
  <c r="P27" i="13" l="1"/>
  <c r="Z27" i="13"/>
  <c r="AA27" i="13" s="1"/>
  <c r="AB27" i="13" s="1"/>
  <c r="Q27" i="13"/>
  <c r="R27" i="13" s="1"/>
  <c r="S27" i="13" s="1"/>
  <c r="T27" i="13"/>
  <c r="U27" i="13" s="1"/>
  <c r="V27" i="13" s="1"/>
  <c r="W27" i="13"/>
  <c r="X27" i="13" s="1"/>
  <c r="Y27" i="13" s="1"/>
  <c r="M29" i="13"/>
  <c r="O28" i="13"/>
  <c r="W28" i="13" l="1"/>
  <c r="X28" i="13" s="1"/>
  <c r="Y28" i="13" s="1"/>
  <c r="Q28" i="13"/>
  <c r="R28" i="13" s="1"/>
  <c r="S28" i="13" s="1"/>
  <c r="P28" i="13"/>
  <c r="T28" i="13"/>
  <c r="U28" i="13" s="1"/>
  <c r="V28" i="13" s="1"/>
  <c r="Z28" i="13"/>
  <c r="AA28" i="13" s="1"/>
  <c r="AB28" i="13" s="1"/>
  <c r="M30" i="13"/>
  <c r="O29" i="13"/>
  <c r="T29" i="13" l="1"/>
  <c r="U29" i="13" s="1"/>
  <c r="V29" i="13" s="1"/>
  <c r="W29" i="13"/>
  <c r="X29" i="13" s="1"/>
  <c r="Y29" i="13" s="1"/>
  <c r="Q29" i="13"/>
  <c r="R29" i="13" s="1"/>
  <c r="S29" i="13" s="1"/>
  <c r="Z29" i="13"/>
  <c r="AA29" i="13" s="1"/>
  <c r="AB29" i="13" s="1"/>
  <c r="P29" i="13"/>
  <c r="M31" i="13"/>
  <c r="O30" i="13"/>
  <c r="W30" i="13" l="1"/>
  <c r="X30" i="13" s="1"/>
  <c r="Y30" i="13" s="1"/>
  <c r="P30" i="13"/>
  <c r="T30" i="13"/>
  <c r="U30" i="13" s="1"/>
  <c r="V30" i="13" s="1"/>
  <c r="Q30" i="13"/>
  <c r="R30" i="13" s="1"/>
  <c r="S30" i="13" s="1"/>
  <c r="Z30" i="13"/>
  <c r="AA30" i="13" s="1"/>
  <c r="AB30" i="13" s="1"/>
  <c r="M32" i="13"/>
  <c r="O31" i="13"/>
  <c r="Z31" i="13" l="1"/>
  <c r="AA31" i="13" s="1"/>
  <c r="AB31" i="13" s="1"/>
  <c r="W31" i="13"/>
  <c r="X31" i="13" s="1"/>
  <c r="Y31" i="13" s="1"/>
  <c r="P31" i="13"/>
  <c r="Q31" i="13"/>
  <c r="R31" i="13" s="1"/>
  <c r="S31" i="13" s="1"/>
  <c r="T31" i="13"/>
  <c r="U31" i="13" s="1"/>
  <c r="V31" i="13" s="1"/>
  <c r="M33" i="13"/>
  <c r="O33" i="13" s="1"/>
  <c r="O32" i="13"/>
  <c r="Z32" i="13" l="1"/>
  <c r="AA32" i="13" s="1"/>
  <c r="AB32" i="13" s="1"/>
  <c r="P32" i="13"/>
  <c r="T32" i="13"/>
  <c r="U32" i="13" s="1"/>
  <c r="V32" i="13" s="1"/>
  <c r="W32" i="13"/>
  <c r="X32" i="13" s="1"/>
  <c r="Y32" i="13" s="1"/>
  <c r="Q32" i="13"/>
  <c r="R32" i="13" s="1"/>
  <c r="S32" i="13" s="1"/>
  <c r="T33" i="13"/>
  <c r="U33" i="13" s="1"/>
  <c r="V33" i="13" s="1"/>
  <c r="Q33" i="13"/>
  <c r="R33" i="13" s="1"/>
  <c r="S33" i="13" s="1"/>
  <c r="Z33" i="13"/>
  <c r="AA33" i="13" s="1"/>
  <c r="AB33" i="13" s="1"/>
  <c r="W33" i="13"/>
  <c r="X33" i="13" s="1"/>
  <c r="Y33" i="13" s="1"/>
  <c r="P33" i="13"/>
</calcChain>
</file>

<file path=xl/sharedStrings.xml><?xml version="1.0" encoding="utf-8"?>
<sst xmlns="http://schemas.openxmlformats.org/spreadsheetml/2006/main" count="890" uniqueCount="149">
  <si>
    <t>ValDate</t>
  </si>
  <si>
    <t>3m Date</t>
  </si>
  <si>
    <t>Cash Date</t>
  </si>
  <si>
    <t>AH</t>
  </si>
  <si>
    <t>S 0003</t>
  </si>
  <si>
    <t>CA</t>
  </si>
  <si>
    <t>ZS</t>
  </si>
  <si>
    <t>NI</t>
  </si>
  <si>
    <t>Live Outright</t>
  </si>
  <si>
    <t>Curve Objects</t>
  </si>
  <si>
    <t>3m</t>
  </si>
  <si>
    <t>Spot</t>
  </si>
  <si>
    <t>1w</t>
  </si>
  <si>
    <t>2w</t>
  </si>
  <si>
    <t>1m</t>
  </si>
  <si>
    <t>2m</t>
  </si>
  <si>
    <t>6m</t>
  </si>
  <si>
    <t>9m</t>
  </si>
  <si>
    <t>18m</t>
  </si>
  <si>
    <t>2y</t>
  </si>
  <si>
    <t>3y</t>
  </si>
  <si>
    <t>12m</t>
  </si>
  <si>
    <t>5y</t>
  </si>
  <si>
    <t>FxPair</t>
  </si>
  <si>
    <t>FxMarix</t>
  </si>
  <si>
    <t>ZAR</t>
  </si>
  <si>
    <t>USD</t>
  </si>
  <si>
    <t>Rate Index</t>
  </si>
  <si>
    <t>ZAR.DISC.[USD.LIBOR.3M]</t>
  </si>
  <si>
    <t>FundingModel</t>
  </si>
  <si>
    <t>LA</t>
  </si>
  <si>
    <t>LP</t>
  </si>
  <si>
    <t>LN</t>
  </si>
  <si>
    <t>LX</t>
  </si>
  <si>
    <t>Vol Objects</t>
  </si>
  <si>
    <t>Model</t>
  </si>
  <si>
    <t>FICA</t>
  </si>
  <si>
    <t>FICB</t>
  </si>
  <si>
    <t>FIC_Combined</t>
  </si>
  <si>
    <t>Copper</t>
  </si>
  <si>
    <t>Aluminium</t>
  </si>
  <si>
    <t>Zinc</t>
  </si>
  <si>
    <t>Strike</t>
  </si>
  <si>
    <t>Nickel</t>
  </si>
  <si>
    <t>Metal</t>
  </si>
  <si>
    <t>PV</t>
  </si>
  <si>
    <t>Delta</t>
  </si>
  <si>
    <t>3w</t>
  </si>
  <si>
    <t>1y</t>
  </si>
  <si>
    <t>USDZAR Vols</t>
  </si>
  <si>
    <t>USDZAR</t>
  </si>
  <si>
    <t>CorrelMatrix</t>
  </si>
  <si>
    <t>FxDelta</t>
  </si>
  <si>
    <t>Fixing Start</t>
  </si>
  <si>
    <t>Fixing End</t>
  </si>
  <si>
    <t>Fixings:</t>
  </si>
  <si>
    <t>USD.LIBOR.3M</t>
  </si>
  <si>
    <t>0x3</t>
  </si>
  <si>
    <t>Spreads</t>
  </si>
  <si>
    <t>(live)</t>
  </si>
  <si>
    <t>(bent)</t>
  </si>
  <si>
    <t>Period</t>
  </si>
  <si>
    <t>Type</t>
  </si>
  <si>
    <t>FairStrike</t>
  </si>
  <si>
    <t>Notional</t>
  </si>
  <si>
    <t>PayLag</t>
  </si>
  <si>
    <t>Monthly</t>
  </si>
  <si>
    <t>Term</t>
  </si>
  <si>
    <t>(obj)</t>
  </si>
  <si>
    <t>Ccy</t>
  </si>
  <si>
    <t>FXType</t>
  </si>
  <si>
    <t>ATC</t>
  </si>
  <si>
    <t>None</t>
  </si>
  <si>
    <t>CTA</t>
  </si>
  <si>
    <t>FixingCal</t>
  </si>
  <si>
    <t>PayCal</t>
  </si>
  <si>
    <t>2b</t>
  </si>
  <si>
    <t>DiscoCurve</t>
  </si>
  <si>
    <t>FixingLag</t>
  </si>
  <si>
    <t>Call</t>
  </si>
  <si>
    <t>ATM</t>
  </si>
  <si>
    <t>Put</t>
  </si>
  <si>
    <t>USD/ZAR</t>
  </si>
  <si>
    <t>PeriodStart</t>
  </si>
  <si>
    <t>PeriodEnd</t>
  </si>
  <si>
    <t>Gold</t>
  </si>
  <si>
    <t>4y</t>
  </si>
  <si>
    <t>RR</t>
  </si>
  <si>
    <t>BF</t>
  </si>
  <si>
    <t>XAU</t>
  </si>
  <si>
    <t>Vega</t>
  </si>
  <si>
    <t>FxVega</t>
  </si>
  <si>
    <t>Start</t>
  </si>
  <si>
    <t>End</t>
  </si>
  <si>
    <t>CallPut</t>
  </si>
  <si>
    <t>Currency</t>
  </si>
  <si>
    <t>MCPV</t>
  </si>
  <si>
    <t>Paths</t>
  </si>
  <si>
    <t>Timesteps</t>
  </si>
  <si>
    <t>RandomGen</t>
  </si>
  <si>
    <t>MersenneTwister</t>
  </si>
  <si>
    <t>MCSettings</t>
  </si>
  <si>
    <t>Off</t>
  </si>
  <si>
    <t>LocalVol</t>
  </si>
  <si>
    <t>Id</t>
  </si>
  <si>
    <t>Parallel</t>
  </si>
  <si>
    <t>Palladium</t>
  </si>
  <si>
    <t>XPD</t>
  </si>
  <si>
    <t>XAU/ZAR</t>
  </si>
  <si>
    <t>XAU/USD</t>
  </si>
  <si>
    <t>ATM Imp</t>
  </si>
  <si>
    <t>ATMF</t>
  </si>
  <si>
    <t>Basic</t>
  </si>
  <si>
    <t>Basic2</t>
  </si>
  <si>
    <t>ReFit</t>
  </si>
  <si>
    <t>Correl</t>
  </si>
  <si>
    <t>T</t>
  </si>
  <si>
    <t>VSMSSettings</t>
  </si>
  <si>
    <t>Calculation</t>
  </si>
  <si>
    <t>GridPV</t>
  </si>
  <si>
    <t>P</t>
  </si>
  <si>
    <t>C</t>
  </si>
  <si>
    <t>RF</t>
  </si>
  <si>
    <t>Exp</t>
  </si>
  <si>
    <t>MC-Fwd</t>
  </si>
  <si>
    <t>PVs</t>
  </si>
  <si>
    <t>Vols</t>
  </si>
  <si>
    <t>Deltas</t>
  </si>
  <si>
    <t>DF</t>
  </si>
  <si>
    <t>=QVol_GenerateCompoSurface("CompoQuick",MetalCurves!AM21,"XAU","USD/ZAR",O1,200)</t>
  </si>
  <si>
    <t>Pair</t>
  </si>
  <si>
    <t>Fwd</t>
  </si>
  <si>
    <t>Expiry</t>
  </si>
  <si>
    <t>Settle</t>
  </si>
  <si>
    <t>DiscountCurve</t>
  </si>
  <si>
    <t>DiscCurve</t>
  </si>
  <si>
    <t>PV (ZAR)</t>
  </si>
  <si>
    <t>(% USD)</t>
  </si>
  <si>
    <t>#</t>
  </si>
  <si>
    <t>Decision</t>
  </si>
  <si>
    <t>Asset</t>
  </si>
  <si>
    <t>Prompt</t>
  </si>
  <si>
    <t>Object</t>
  </si>
  <si>
    <t>Quantity</t>
  </si>
  <si>
    <t>Compute PV</t>
  </si>
  <si>
    <t>Compute Delta</t>
  </si>
  <si>
    <t>MCDelta</t>
  </si>
  <si>
    <t>McModel</t>
  </si>
  <si>
    <t>Delta 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</si>
</sst>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£&quot;#,##0;[Red]\-&quot;£&quot;#,##0"/>
    <numFmt numFmtId="41" formatCode="_-* #,##0_-;\-* #,##0_-;_-* &quot;-&quot;_-;_-@_-"/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_(&quot;$&quot;* #,##0_);_(&quot;$&quot;* \(#,##0\);_(&quot;$&quot;* &quot;-&quot;_);_(@_)"/>
    <numFmt numFmtId="167" formatCode="_(&quot;$&quot;* #,##0.00_);_(&quot;$&quot;* \(#,##0.00\);_(&quot;$&quot;* &quot;-&quot;??_);_(@_)"/>
    <numFmt numFmtId="168" formatCode="&quot;R&quot;\ #,##0;[Red]&quot;R&quot;\ \-#,##0"/>
    <numFmt numFmtId="169" formatCode="_ &quot;R&quot;\ * #,##0.00_ ;_ &quot;R&quot;\ * \-#,##0.00_ ;_ &quot;R&quot;\ * &quot;-&quot;??_ ;_ @_ "/>
    <numFmt numFmtId="170" formatCode="0.0000"/>
    <numFmt numFmtId="171" formatCode="dd\-mmm\-yy_)"/>
    <numFmt numFmtId="172" formatCode="#,##0.0_);\(#,##0.0\)"/>
    <numFmt numFmtId="173" formatCode="&quot;ZAR&quot;\ #,##0;[Red]&quot;ZAR&quot;\ \-#,##0"/>
    <numFmt numFmtId="174" formatCode="&quot;$&quot;#,##0\ ;\(&quot;$&quot;#,##0\)"/>
    <numFmt numFmtId="175" formatCode="#,##0.0;#,##0.0"/>
    <numFmt numFmtId="176" formatCode="\+#,##0.00;\-#,##0.00"/>
    <numFmt numFmtId="177" formatCode="0.00_)"/>
    <numFmt numFmtId="178" formatCode="_ [$€-2]\ * #,##0.00_ ;_ [$€-2]\ * \-#,##0.00_ ;_ [$€-2]\ * &quot;-&quot;??_ "/>
    <numFmt numFmtId="179" formatCode="_-* #,##0_-;\-* #,##0_-;_-* &quot;-&quot;??_-;_-@_-"/>
    <numFmt numFmtId="182" formatCode="0.0%"/>
    <numFmt numFmtId="183" formatCode="_-* #,##0.0000_-;\-* #,##0.0000_-;_-* &quot;-&quot;??_-;_-@_-"/>
    <numFmt numFmtId="184" formatCode="_-* #,##0.000_-;\-* #,##0.000_-;_-* &quot;-&quot;??_-;_-@_-"/>
    <numFmt numFmtId="185" formatCode="_-* #,##0.000000_-;\-* #,##0.000000_-;_-* &quot;-&quot;??_-;_-@_-"/>
    <numFmt numFmtId="186" formatCode="_-* #,##0.00000_-;\-* #,##0.00000_-;_-* &quot;-&quot;??_-;_-@_-"/>
    <numFmt numFmtId="187" formatCode="0.000%"/>
  </numFmts>
  <fonts count="9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color indexed="32"/>
      <name val="Arial"/>
      <family val="2"/>
    </font>
    <font>
      <u/>
      <sz val="8"/>
      <color indexed="12"/>
      <name val="Arial"/>
      <family val="2"/>
    </font>
    <font>
      <sz val="10"/>
      <color indexed="8"/>
      <name val="Arial"/>
      <family val="2"/>
    </font>
    <font>
      <sz val="8"/>
      <name val="Times New Roman"/>
      <family val="1"/>
    </font>
    <font>
      <sz val="12"/>
      <color indexed="12"/>
      <name val="Helv"/>
    </font>
    <font>
      <b/>
      <sz val="12"/>
      <name val="Arial"/>
      <family val="2"/>
    </font>
    <font>
      <sz val="12"/>
      <name val="Helv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8"/>
      <name val="Tahoma"/>
      <family val="2"/>
    </font>
    <font>
      <u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8"/>
      <name val="Arial Narrow"/>
      <family val="2"/>
    </font>
    <font>
      <sz val="10"/>
      <name val="Tahoma"/>
      <family val="2"/>
    </font>
    <font>
      <sz val="10"/>
      <name val="Arial Narrow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sz val="10"/>
      <color indexed="10"/>
      <name val="MS Sans Serif"/>
      <family val="2"/>
    </font>
    <font>
      <b/>
      <sz val="18"/>
      <name val="Arial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b/>
      <sz val="9"/>
      <color indexed="9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u/>
      <sz val="10"/>
      <color indexed="12"/>
      <name val="Tahoma"/>
      <family val="2"/>
    </font>
    <font>
      <b/>
      <u/>
      <sz val="12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6"/>
      <color indexed="9"/>
      <name val="Arial"/>
      <family val="2"/>
    </font>
    <font>
      <sz val="6"/>
      <color indexed="8"/>
      <name val="Arial"/>
      <family val="2"/>
    </font>
    <font>
      <b/>
      <sz val="7"/>
      <color indexed="8"/>
      <name val="Verdana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8"/>
      <name val="Arial"/>
      <family val="2"/>
    </font>
    <font>
      <sz val="8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8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</patternFill>
    </fill>
    <fill>
      <patternFill patternType="solid">
        <fgColor indexed="4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58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3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56"/>
      </patternFill>
    </fill>
    <fill>
      <patternFill patternType="solid">
        <fgColor indexed="65"/>
      </patternFill>
    </fill>
    <fill>
      <patternFill patternType="solid">
        <fgColor rgb="FF4F81B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24">
    <xf numFmtId="178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78" fontId="3" fillId="0" borderId="0"/>
    <xf numFmtId="178" fontId="3" fillId="0" borderId="0"/>
    <xf numFmtId="178" fontId="4" fillId="0" borderId="12" applyNumberFormat="0" applyFill="0" applyAlignment="0" applyProtection="0"/>
    <xf numFmtId="178" fontId="5" fillId="0" borderId="13" applyNumberFormat="0" applyFill="0" applyAlignment="0" applyProtection="0"/>
    <xf numFmtId="178" fontId="6" fillId="0" borderId="14" applyNumberFormat="0" applyFill="0" applyAlignment="0" applyProtection="0"/>
    <xf numFmtId="178" fontId="6" fillId="0" borderId="0" applyNumberFormat="0" applyFill="0" applyBorder="0" applyAlignment="0" applyProtection="0"/>
    <xf numFmtId="178" fontId="7" fillId="3" borderId="0" applyNumberFormat="0" applyBorder="0" applyAlignment="0" applyProtection="0"/>
    <xf numFmtId="178" fontId="8" fillId="4" borderId="0" applyNumberFormat="0" applyBorder="0" applyAlignment="0" applyProtection="0"/>
    <xf numFmtId="178" fontId="10" fillId="7" borderId="16" applyNumberFormat="0" applyAlignment="0" applyProtection="0"/>
    <xf numFmtId="178" fontId="11" fillId="7" borderId="15" applyNumberFormat="0" applyAlignment="0" applyProtection="0"/>
    <xf numFmtId="178" fontId="12" fillId="0" borderId="17" applyNumberFormat="0" applyFill="0" applyAlignment="0" applyProtection="0"/>
    <xf numFmtId="178" fontId="13" fillId="8" borderId="18" applyNumberFormat="0" applyAlignment="0" applyProtection="0"/>
    <xf numFmtId="178" fontId="14" fillId="0" borderId="0" applyNumberFormat="0" applyFill="0" applyBorder="0" applyAlignment="0" applyProtection="0"/>
    <xf numFmtId="178" fontId="15" fillId="0" borderId="0" applyNumberFormat="0" applyFill="0" applyBorder="0" applyAlignment="0" applyProtection="0"/>
    <xf numFmtId="178" fontId="1" fillId="0" borderId="20" applyNumberFormat="0" applyFill="0" applyAlignment="0" applyProtection="0"/>
    <xf numFmtId="178" fontId="16" fillId="10" borderId="0" applyNumberFormat="0" applyBorder="0" applyAlignment="0" applyProtection="0"/>
    <xf numFmtId="178" fontId="2" fillId="11" borderId="0" applyNumberFormat="0" applyBorder="0" applyAlignment="0" applyProtection="0"/>
    <xf numFmtId="178" fontId="2" fillId="12" borderId="0" applyNumberFormat="0" applyBorder="0" applyAlignment="0" applyProtection="0"/>
    <xf numFmtId="178" fontId="16" fillId="14" borderId="0" applyNumberFormat="0" applyBorder="0" applyAlignment="0" applyProtection="0"/>
    <xf numFmtId="178" fontId="2" fillId="15" borderId="0" applyNumberFormat="0" applyBorder="0" applyAlignment="0" applyProtection="0"/>
    <xf numFmtId="178" fontId="2" fillId="16" borderId="0" applyNumberFormat="0" applyBorder="0" applyAlignment="0" applyProtection="0"/>
    <xf numFmtId="178" fontId="16" fillId="18" borderId="0" applyNumberFormat="0" applyBorder="0" applyAlignment="0" applyProtection="0"/>
    <xf numFmtId="178" fontId="2" fillId="19" borderId="0" applyNumberFormat="0" applyBorder="0" applyAlignment="0" applyProtection="0"/>
    <xf numFmtId="178" fontId="2" fillId="20" borderId="0" applyNumberFormat="0" applyBorder="0" applyAlignment="0" applyProtection="0"/>
    <xf numFmtId="178" fontId="16" fillId="22" borderId="0" applyNumberFormat="0" applyBorder="0" applyAlignment="0" applyProtection="0"/>
    <xf numFmtId="178" fontId="2" fillId="23" borderId="0" applyNumberFormat="0" applyBorder="0" applyAlignment="0" applyProtection="0"/>
    <xf numFmtId="178" fontId="2" fillId="24" borderId="0" applyNumberFormat="0" applyBorder="0" applyAlignment="0" applyProtection="0"/>
    <xf numFmtId="178" fontId="16" fillId="26" borderId="0" applyNumberFormat="0" applyBorder="0" applyAlignment="0" applyProtection="0"/>
    <xf numFmtId="178" fontId="2" fillId="27" borderId="0" applyNumberFormat="0" applyBorder="0" applyAlignment="0" applyProtection="0"/>
    <xf numFmtId="178" fontId="2" fillId="28" borderId="0" applyNumberFormat="0" applyBorder="0" applyAlignment="0" applyProtection="0"/>
    <xf numFmtId="178" fontId="16" fillId="30" borderId="0" applyNumberFormat="0" applyBorder="0" applyAlignment="0" applyProtection="0"/>
    <xf numFmtId="178" fontId="2" fillId="31" borderId="0" applyNumberFormat="0" applyBorder="0" applyAlignment="0" applyProtection="0"/>
    <xf numFmtId="178" fontId="2" fillId="32" borderId="0" applyNumberFormat="0" applyBorder="0" applyAlignment="0" applyProtection="0"/>
    <xf numFmtId="178" fontId="17" fillId="0" borderId="0"/>
    <xf numFmtId="178" fontId="18" fillId="0" borderId="0" applyFont="0" applyFill="0" applyBorder="0" applyAlignment="0" applyProtection="0"/>
    <xf numFmtId="178" fontId="21" fillId="0" borderId="0">
      <alignment vertical="top"/>
    </xf>
    <xf numFmtId="178" fontId="21" fillId="0" borderId="0">
      <alignment vertical="top"/>
    </xf>
    <xf numFmtId="178" fontId="26" fillId="35" borderId="0" applyNumberFormat="0" applyBorder="0" applyAlignment="0" applyProtection="0"/>
    <xf numFmtId="178" fontId="21" fillId="35" borderId="0" applyNumberFormat="0" applyBorder="0" applyAlignment="0" applyProtection="0"/>
    <xf numFmtId="178" fontId="2" fillId="11" borderId="0" applyNumberFormat="0" applyBorder="0" applyAlignment="0" applyProtection="0"/>
    <xf numFmtId="178" fontId="26" fillId="35" borderId="0" applyNumberFormat="0" applyBorder="0" applyAlignment="0" applyProtection="0"/>
    <xf numFmtId="178" fontId="2" fillId="11" borderId="0" applyNumberFormat="0" applyBorder="0" applyAlignment="0" applyProtection="0"/>
    <xf numFmtId="178" fontId="26" fillId="35" borderId="0" applyNumberFormat="0" applyBorder="0" applyAlignment="0" applyProtection="0"/>
    <xf numFmtId="178" fontId="26" fillId="35" borderId="0" applyNumberFormat="0" applyBorder="0" applyAlignment="0" applyProtection="0"/>
    <xf numFmtId="178" fontId="26" fillId="37" borderId="0" applyNumberFormat="0" applyBorder="0" applyAlignment="0" applyProtection="0"/>
    <xf numFmtId="178" fontId="21" fillId="37" borderId="0" applyNumberFormat="0" applyBorder="0" applyAlignment="0" applyProtection="0"/>
    <xf numFmtId="178" fontId="2" fillId="15" borderId="0" applyNumberFormat="0" applyBorder="0" applyAlignment="0" applyProtection="0"/>
    <xf numFmtId="178" fontId="26" fillId="37" borderId="0" applyNumberFormat="0" applyBorder="0" applyAlignment="0" applyProtection="0"/>
    <xf numFmtId="178" fontId="2" fillId="15" borderId="0" applyNumberFormat="0" applyBorder="0" applyAlignment="0" applyProtection="0"/>
    <xf numFmtId="178" fontId="26" fillId="37" borderId="0" applyNumberFormat="0" applyBorder="0" applyAlignment="0" applyProtection="0"/>
    <xf numFmtId="178" fontId="26" fillId="37" borderId="0" applyNumberFormat="0" applyBorder="0" applyAlignment="0" applyProtection="0"/>
    <xf numFmtId="178" fontId="26" fillId="39" borderId="0" applyNumberFormat="0" applyBorder="0" applyAlignment="0" applyProtection="0"/>
    <xf numFmtId="178" fontId="21" fillId="39" borderId="0" applyNumberFormat="0" applyBorder="0" applyAlignment="0" applyProtection="0"/>
    <xf numFmtId="178" fontId="2" fillId="19" borderId="0" applyNumberFormat="0" applyBorder="0" applyAlignment="0" applyProtection="0"/>
    <xf numFmtId="178" fontId="26" fillId="39" borderId="0" applyNumberFormat="0" applyBorder="0" applyAlignment="0" applyProtection="0"/>
    <xf numFmtId="178" fontId="2" fillId="19" borderId="0" applyNumberFormat="0" applyBorder="0" applyAlignment="0" applyProtection="0"/>
    <xf numFmtId="178" fontId="26" fillId="39" borderId="0" applyNumberFormat="0" applyBorder="0" applyAlignment="0" applyProtection="0"/>
    <xf numFmtId="178" fontId="26" fillId="39" borderId="0" applyNumberFormat="0" applyBorder="0" applyAlignment="0" applyProtection="0"/>
    <xf numFmtId="178" fontId="26" fillId="41" borderId="0" applyNumberFormat="0" applyBorder="0" applyAlignment="0" applyProtection="0"/>
    <xf numFmtId="178" fontId="21" fillId="41" borderId="0" applyNumberFormat="0" applyBorder="0" applyAlignment="0" applyProtection="0"/>
    <xf numFmtId="178" fontId="2" fillId="23" borderId="0" applyNumberFormat="0" applyBorder="0" applyAlignment="0" applyProtection="0"/>
    <xf numFmtId="178" fontId="26" fillId="41" borderId="0" applyNumberFormat="0" applyBorder="0" applyAlignment="0" applyProtection="0"/>
    <xf numFmtId="178" fontId="2" fillId="23" borderId="0" applyNumberFormat="0" applyBorder="0" applyAlignment="0" applyProtection="0"/>
    <xf numFmtId="178" fontId="26" fillId="41" borderId="0" applyNumberFormat="0" applyBorder="0" applyAlignment="0" applyProtection="0"/>
    <xf numFmtId="178" fontId="26" fillId="41" borderId="0" applyNumberFormat="0" applyBorder="0" applyAlignment="0" applyProtection="0"/>
    <xf numFmtId="178" fontId="26" fillId="42" borderId="0" applyNumberFormat="0" applyBorder="0" applyAlignment="0" applyProtection="0"/>
    <xf numFmtId="178" fontId="21" fillId="42" borderId="0" applyNumberFormat="0" applyBorder="0" applyAlignment="0" applyProtection="0"/>
    <xf numFmtId="178" fontId="26" fillId="42" borderId="0" applyNumberFormat="0" applyBorder="0" applyAlignment="0" applyProtection="0"/>
    <xf numFmtId="178" fontId="26" fillId="40" borderId="0" applyNumberFormat="0" applyBorder="0" applyAlignment="0" applyProtection="0"/>
    <xf numFmtId="178" fontId="21" fillId="40" borderId="0" applyNumberFormat="0" applyBorder="0" applyAlignment="0" applyProtection="0"/>
    <xf numFmtId="178" fontId="26" fillId="40" borderId="0" applyNumberFormat="0" applyBorder="0" applyAlignment="0" applyProtection="0"/>
    <xf numFmtId="178" fontId="26" fillId="34" borderId="0" applyNumberFormat="0" applyBorder="0" applyAlignment="0" applyProtection="0"/>
    <xf numFmtId="178" fontId="21" fillId="34" borderId="0" applyNumberFormat="0" applyBorder="0" applyAlignment="0" applyProtection="0"/>
    <xf numFmtId="178" fontId="26" fillId="34" borderId="0" applyNumberFormat="0" applyBorder="0" applyAlignment="0" applyProtection="0"/>
    <xf numFmtId="178" fontId="26" fillId="36" borderId="0" applyNumberFormat="0" applyBorder="0" applyAlignment="0" applyProtection="0"/>
    <xf numFmtId="178" fontId="21" fillId="36" borderId="0" applyNumberFormat="0" applyBorder="0" applyAlignment="0" applyProtection="0"/>
    <xf numFmtId="178" fontId="26" fillId="36" borderId="0" applyNumberFormat="0" applyBorder="0" applyAlignment="0" applyProtection="0"/>
    <xf numFmtId="178" fontId="26" fillId="44" borderId="0" applyNumberFormat="0" applyBorder="0" applyAlignment="0" applyProtection="0"/>
    <xf numFmtId="178" fontId="21" fillId="44" borderId="0" applyNumberFormat="0" applyBorder="0" applyAlignment="0" applyProtection="0"/>
    <xf numFmtId="178" fontId="2" fillId="20" borderId="0" applyNumberFormat="0" applyBorder="0" applyAlignment="0" applyProtection="0"/>
    <xf numFmtId="178" fontId="26" fillId="44" borderId="0" applyNumberFormat="0" applyBorder="0" applyAlignment="0" applyProtection="0"/>
    <xf numFmtId="178" fontId="2" fillId="20" borderId="0" applyNumberFormat="0" applyBorder="0" applyAlignment="0" applyProtection="0"/>
    <xf numFmtId="178" fontId="26" fillId="44" borderId="0" applyNumberFormat="0" applyBorder="0" applyAlignment="0" applyProtection="0"/>
    <xf numFmtId="178" fontId="26" fillId="44" borderId="0" applyNumberFormat="0" applyBorder="0" applyAlignment="0" applyProtection="0"/>
    <xf numFmtId="178" fontId="26" fillId="41" borderId="0" applyNumberFormat="0" applyBorder="0" applyAlignment="0" applyProtection="0"/>
    <xf numFmtId="178" fontId="21" fillId="41" borderId="0" applyNumberFormat="0" applyBorder="0" applyAlignment="0" applyProtection="0"/>
    <xf numFmtId="178" fontId="26" fillId="41" borderId="0" applyNumberFormat="0" applyBorder="0" applyAlignment="0" applyProtection="0"/>
    <xf numFmtId="178" fontId="26" fillId="34" borderId="0" applyNumberFormat="0" applyBorder="0" applyAlignment="0" applyProtection="0"/>
    <xf numFmtId="178" fontId="21" fillId="34" borderId="0" applyNumberFormat="0" applyBorder="0" applyAlignment="0" applyProtection="0"/>
    <xf numFmtId="178" fontId="26" fillId="34" borderId="0" applyNumberFormat="0" applyBorder="0" applyAlignment="0" applyProtection="0"/>
    <xf numFmtId="178" fontId="26" fillId="45" borderId="0" applyNumberFormat="0" applyBorder="0" applyAlignment="0" applyProtection="0"/>
    <xf numFmtId="178" fontId="21" fillId="45" borderId="0" applyNumberFormat="0" applyBorder="0" applyAlignment="0" applyProtection="0"/>
    <xf numFmtId="178" fontId="26" fillId="45" borderId="0" applyNumberFormat="0" applyBorder="0" applyAlignment="0" applyProtection="0"/>
    <xf numFmtId="178" fontId="16" fillId="13" borderId="0" applyNumberFormat="0" applyBorder="0" applyAlignment="0" applyProtection="0"/>
    <xf numFmtId="178" fontId="27" fillId="46" borderId="0" applyNumberFormat="0" applyBorder="0" applyAlignment="0" applyProtection="0"/>
    <xf numFmtId="178" fontId="44" fillId="46" borderId="0" applyNumberFormat="0" applyBorder="0" applyAlignment="0" applyProtection="0"/>
    <xf numFmtId="178" fontId="27" fillId="46" borderId="0" applyNumberFormat="0" applyBorder="0" applyAlignment="0" applyProtection="0"/>
    <xf numFmtId="178" fontId="16" fillId="17" borderId="0" applyNumberFormat="0" applyBorder="0" applyAlignment="0" applyProtection="0"/>
    <xf numFmtId="178" fontId="27" fillId="36" borderId="0" applyNumberFormat="0" applyBorder="0" applyAlignment="0" applyProtection="0"/>
    <xf numFmtId="178" fontId="44" fillId="36" borderId="0" applyNumberFormat="0" applyBorder="0" applyAlignment="0" applyProtection="0"/>
    <xf numFmtId="178" fontId="27" fillId="36" borderId="0" applyNumberFormat="0" applyBorder="0" applyAlignment="0" applyProtection="0"/>
    <xf numFmtId="178" fontId="16" fillId="21" borderId="0" applyNumberFormat="0" applyBorder="0" applyAlignment="0" applyProtection="0"/>
    <xf numFmtId="178" fontId="27" fillId="44" borderId="0" applyNumberFormat="0" applyBorder="0" applyAlignment="0" applyProtection="0"/>
    <xf numFmtId="178" fontId="44" fillId="44" borderId="0" applyNumberFormat="0" applyBorder="0" applyAlignment="0" applyProtection="0"/>
    <xf numFmtId="178" fontId="16" fillId="21" borderId="0" applyNumberFormat="0" applyBorder="0" applyAlignment="0" applyProtection="0"/>
    <xf numFmtId="178" fontId="27" fillId="44" borderId="0" applyNumberFormat="0" applyBorder="0" applyAlignment="0" applyProtection="0"/>
    <xf numFmtId="178" fontId="16" fillId="21" borderId="0" applyNumberFormat="0" applyBorder="0" applyAlignment="0" applyProtection="0"/>
    <xf numFmtId="178" fontId="27" fillId="44" borderId="0" applyNumberFormat="0" applyBorder="0" applyAlignment="0" applyProtection="0"/>
    <xf numFmtId="178" fontId="27" fillId="44" borderId="0" applyNumberFormat="0" applyBorder="0" applyAlignment="0" applyProtection="0"/>
    <xf numFmtId="178" fontId="16" fillId="25" borderId="0" applyNumberFormat="0" applyBorder="0" applyAlignment="0" applyProtection="0"/>
    <xf numFmtId="178" fontId="27" fillId="48" borderId="0" applyNumberFormat="0" applyBorder="0" applyAlignment="0" applyProtection="0"/>
    <xf numFmtId="178" fontId="44" fillId="48" borderId="0" applyNumberFormat="0" applyBorder="0" applyAlignment="0" applyProtection="0"/>
    <xf numFmtId="178" fontId="16" fillId="25" borderId="0" applyNumberFormat="0" applyBorder="0" applyAlignment="0" applyProtection="0"/>
    <xf numFmtId="178" fontId="27" fillId="48" borderId="0" applyNumberFormat="0" applyBorder="0" applyAlignment="0" applyProtection="0"/>
    <xf numFmtId="178" fontId="16" fillId="25" borderId="0" applyNumberFormat="0" applyBorder="0" applyAlignment="0" applyProtection="0"/>
    <xf numFmtId="178" fontId="27" fillId="48" borderId="0" applyNumberFormat="0" applyBorder="0" applyAlignment="0" applyProtection="0"/>
    <xf numFmtId="178" fontId="27" fillId="48" borderId="0" applyNumberFormat="0" applyBorder="0" applyAlignment="0" applyProtection="0"/>
    <xf numFmtId="178" fontId="16" fillId="29" borderId="0" applyNumberFormat="0" applyBorder="0" applyAlignment="0" applyProtection="0"/>
    <xf numFmtId="178" fontId="27" fillId="49" borderId="0" applyNumberFormat="0" applyBorder="0" applyAlignment="0" applyProtection="0"/>
    <xf numFmtId="178" fontId="44" fillId="49" borderId="0" applyNumberFormat="0" applyBorder="0" applyAlignment="0" applyProtection="0"/>
    <xf numFmtId="178" fontId="27" fillId="49" borderId="0" applyNumberFormat="0" applyBorder="0" applyAlignment="0" applyProtection="0"/>
    <xf numFmtId="178" fontId="16" fillId="33" borderId="0" applyNumberFormat="0" applyBorder="0" applyAlignment="0" applyProtection="0"/>
    <xf numFmtId="178" fontId="27" fillId="50" borderId="0" applyNumberFormat="0" applyBorder="0" applyAlignment="0" applyProtection="0"/>
    <xf numFmtId="178" fontId="44" fillId="50" borderId="0" applyNumberFormat="0" applyBorder="0" applyAlignment="0" applyProtection="0"/>
    <xf numFmtId="178" fontId="16" fillId="33" borderId="0" applyNumberFormat="0" applyBorder="0" applyAlignment="0" applyProtection="0"/>
    <xf numFmtId="178" fontId="27" fillId="50" borderId="0" applyNumberFormat="0" applyBorder="0" applyAlignment="0" applyProtection="0"/>
    <xf numFmtId="178" fontId="16" fillId="33" borderId="0" applyNumberFormat="0" applyBorder="0" applyAlignment="0" applyProtection="0"/>
    <xf numFmtId="178" fontId="27" fillId="50" borderId="0" applyNumberFormat="0" applyBorder="0" applyAlignment="0" applyProtection="0"/>
    <xf numFmtId="178" fontId="27" fillId="50" borderId="0" applyNumberFormat="0" applyBorder="0" applyAlignment="0" applyProtection="0"/>
    <xf numFmtId="178" fontId="27" fillId="51" borderId="0" applyNumberFormat="0" applyBorder="0" applyAlignment="0" applyProtection="0"/>
    <xf numFmtId="178" fontId="44" fillId="51" borderId="0" applyNumberFormat="0" applyBorder="0" applyAlignment="0" applyProtection="0"/>
    <xf numFmtId="178" fontId="27" fillId="51" borderId="0" applyNumberFormat="0" applyBorder="0" applyAlignment="0" applyProtection="0"/>
    <xf numFmtId="178" fontId="27" fillId="52" borderId="0" applyNumberFormat="0" applyBorder="0" applyAlignment="0" applyProtection="0"/>
    <xf numFmtId="178" fontId="44" fillId="52" borderId="0" applyNumberFormat="0" applyBorder="0" applyAlignment="0" applyProtection="0"/>
    <xf numFmtId="178" fontId="27" fillId="52" borderId="0" applyNumberFormat="0" applyBorder="0" applyAlignment="0" applyProtection="0"/>
    <xf numFmtId="178" fontId="27" fillId="53" borderId="0" applyNumberFormat="0" applyBorder="0" applyAlignment="0" applyProtection="0"/>
    <xf numFmtId="178" fontId="44" fillId="53" borderId="0" applyNumberFormat="0" applyBorder="0" applyAlignment="0" applyProtection="0"/>
    <xf numFmtId="178" fontId="27" fillId="53" borderId="0" applyNumberFormat="0" applyBorder="0" applyAlignment="0" applyProtection="0"/>
    <xf numFmtId="178" fontId="27" fillId="48" borderId="0" applyNumberFormat="0" applyBorder="0" applyAlignment="0" applyProtection="0"/>
    <xf numFmtId="178" fontId="44" fillId="48" borderId="0" applyNumberFormat="0" applyBorder="0" applyAlignment="0" applyProtection="0"/>
    <xf numFmtId="178" fontId="27" fillId="48" borderId="0" applyNumberFormat="0" applyBorder="0" applyAlignment="0" applyProtection="0"/>
    <xf numFmtId="178" fontId="27" fillId="49" borderId="0" applyNumberFormat="0" applyBorder="0" applyAlignment="0" applyProtection="0"/>
    <xf numFmtId="178" fontId="44" fillId="49" borderId="0" applyNumberFormat="0" applyBorder="0" applyAlignment="0" applyProtection="0"/>
    <xf numFmtId="178" fontId="27" fillId="49" borderId="0" applyNumberFormat="0" applyBorder="0" applyAlignment="0" applyProtection="0"/>
    <xf numFmtId="178" fontId="27" fillId="47" borderId="0" applyNumberFormat="0" applyBorder="0" applyAlignment="0" applyProtection="0"/>
    <xf numFmtId="178" fontId="44" fillId="47" borderId="0" applyNumberFormat="0" applyBorder="0" applyAlignment="0" applyProtection="0"/>
    <xf numFmtId="178" fontId="27" fillId="47" borderId="0" applyNumberFormat="0" applyBorder="0" applyAlignment="0" applyProtection="0"/>
    <xf numFmtId="178" fontId="22" fillId="0" borderId="0">
      <alignment horizontal="center" wrapText="1"/>
      <protection locked="0"/>
    </xf>
    <xf numFmtId="178" fontId="52" fillId="54" borderId="0" applyAlignment="0"/>
    <xf numFmtId="178" fontId="28" fillId="37" borderId="0" applyNumberFormat="0" applyBorder="0" applyAlignment="0" applyProtection="0"/>
    <xf numFmtId="178" fontId="67" fillId="37" borderId="0" applyNumberFormat="0" applyBorder="0" applyAlignment="0" applyProtection="0"/>
    <xf numFmtId="178" fontId="28" fillId="37" borderId="0" applyNumberFormat="0" applyBorder="0" applyAlignment="0" applyProtection="0"/>
    <xf numFmtId="178" fontId="29" fillId="83" borderId="0"/>
    <xf numFmtId="178" fontId="18" fillId="0" borderId="21"/>
    <xf numFmtId="178" fontId="45" fillId="55" borderId="22" applyNumberFormat="0" applyAlignment="0" applyProtection="0"/>
    <xf numFmtId="178" fontId="68" fillId="55" borderId="22" applyNumberFormat="0" applyAlignment="0" applyProtection="0"/>
    <xf numFmtId="178" fontId="45" fillId="55" borderId="22" applyNumberFormat="0" applyAlignment="0" applyProtection="0"/>
    <xf numFmtId="178" fontId="29" fillId="56" borderId="23" applyNumberFormat="0" applyAlignment="0" applyProtection="0"/>
    <xf numFmtId="178" fontId="43" fillId="56" borderId="23" applyNumberFormat="0" applyAlignment="0" applyProtection="0"/>
    <xf numFmtId="178" fontId="29" fillId="56" borderId="23" applyNumberFormat="0" applyAlignment="0" applyProtection="0"/>
    <xf numFmtId="165" fontId="1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1" fontId="23" fillId="0" borderId="24" applyFont="0" applyBorder="0" applyAlignment="0" applyProtection="0">
      <alignment horizontal="left"/>
      <protection locked="0"/>
    </xf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30" fillId="0" borderId="0" applyNumberFormat="0" applyFill="0" applyBorder="0" applyAlignment="0" applyProtection="0"/>
    <xf numFmtId="178" fontId="69" fillId="0" borderId="0" applyNumberFormat="0" applyFill="0" applyBorder="0" applyAlignment="0" applyProtection="0"/>
    <xf numFmtId="178" fontId="30" fillId="0" borderId="0" applyNumberFormat="0" applyFill="0" applyBorder="0" applyAlignment="0" applyProtection="0"/>
    <xf numFmtId="2" fontId="18" fillId="0" borderId="0" applyFont="0" applyFill="0" applyBorder="0" applyAlignment="0" applyProtection="0"/>
    <xf numFmtId="178" fontId="31" fillId="39" borderId="0" applyNumberFormat="0" applyBorder="0" applyAlignment="0" applyProtection="0"/>
    <xf numFmtId="178" fontId="70" fillId="39" borderId="0" applyNumberFormat="0" applyBorder="0" applyAlignment="0" applyProtection="0"/>
    <xf numFmtId="178" fontId="31" fillId="39" borderId="0" applyNumberFormat="0" applyBorder="0" applyAlignment="0" applyProtection="0"/>
    <xf numFmtId="178" fontId="79" fillId="0" borderId="0"/>
    <xf numFmtId="178" fontId="80" fillId="0" borderId="0"/>
    <xf numFmtId="178" fontId="39" fillId="0" borderId="0"/>
    <xf numFmtId="178" fontId="81" fillId="0" borderId="0"/>
    <xf numFmtId="178" fontId="82" fillId="0" borderId="0"/>
    <xf numFmtId="178" fontId="24" fillId="0" borderId="25" applyNumberFormat="0" applyAlignment="0" applyProtection="0">
      <alignment horizontal="left" vertical="center"/>
    </xf>
    <xf numFmtId="178" fontId="24" fillId="0" borderId="9">
      <alignment horizontal="left" vertical="center"/>
    </xf>
    <xf numFmtId="178" fontId="46" fillId="0" borderId="26" applyNumberFormat="0" applyFill="0" applyAlignment="0" applyProtection="0"/>
    <xf numFmtId="178" fontId="71" fillId="0" borderId="26" applyNumberFormat="0" applyFill="0" applyAlignment="0" applyProtection="0"/>
    <xf numFmtId="178" fontId="53" fillId="0" borderId="0" applyNumberFormat="0" applyFill="0" applyBorder="0" applyAlignment="0" applyProtection="0"/>
    <xf numFmtId="178" fontId="46" fillId="0" borderId="26" applyNumberFormat="0" applyFill="0" applyAlignment="0" applyProtection="0"/>
    <xf numFmtId="178" fontId="47" fillId="0" borderId="27" applyNumberFormat="0" applyFill="0" applyAlignment="0" applyProtection="0"/>
    <xf numFmtId="178" fontId="72" fillId="0" borderId="27" applyNumberFormat="0" applyFill="0" applyAlignment="0" applyProtection="0"/>
    <xf numFmtId="178" fontId="24" fillId="0" borderId="0" applyNumberFormat="0" applyFill="0" applyBorder="0" applyAlignment="0" applyProtection="0"/>
    <xf numFmtId="178" fontId="47" fillId="0" borderId="27" applyNumberFormat="0" applyFill="0" applyAlignment="0" applyProtection="0"/>
    <xf numFmtId="178" fontId="48" fillId="0" borderId="28" applyNumberFormat="0" applyFill="0" applyAlignment="0" applyProtection="0"/>
    <xf numFmtId="178" fontId="73" fillId="0" borderId="28" applyNumberFormat="0" applyFill="0" applyAlignment="0" applyProtection="0"/>
    <xf numFmtId="178" fontId="48" fillId="0" borderId="28" applyNumberFormat="0" applyFill="0" applyAlignment="0" applyProtection="0"/>
    <xf numFmtId="178" fontId="48" fillId="0" borderId="0" applyNumberFormat="0" applyFill="0" applyBorder="0" applyAlignment="0" applyProtection="0"/>
    <xf numFmtId="178" fontId="73" fillId="0" borderId="0" applyNumberFormat="0" applyFill="0" applyBorder="0" applyAlignment="0" applyProtection="0"/>
    <xf numFmtId="178" fontId="48" fillId="0" borderId="0" applyNumberFormat="0" applyFill="0" applyBorder="0" applyAlignment="0" applyProtection="0"/>
    <xf numFmtId="178" fontId="20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78" fontId="20" fillId="0" borderId="0" applyNumberFormat="0" applyFill="0" applyBorder="0" applyAlignment="0" applyProtection="0">
      <alignment vertical="top"/>
      <protection locked="0"/>
    </xf>
    <xf numFmtId="178" fontId="20" fillId="0" borderId="0" applyNumberFormat="0" applyFill="0" applyBorder="0" applyAlignment="0" applyProtection="0">
      <alignment vertical="top"/>
      <protection locked="0"/>
    </xf>
    <xf numFmtId="178" fontId="78" fillId="0" borderId="0" applyNumberFormat="0" applyFill="0" applyBorder="0" applyAlignment="0" applyProtection="0">
      <alignment vertical="top"/>
      <protection locked="0"/>
    </xf>
    <xf numFmtId="178" fontId="78" fillId="0" borderId="0" applyNumberFormat="0" applyFill="0" applyBorder="0" applyAlignment="0" applyProtection="0">
      <alignment vertical="top"/>
      <protection locked="0"/>
    </xf>
    <xf numFmtId="178" fontId="78" fillId="0" borderId="0" applyNumberFormat="0" applyFill="0" applyBorder="0" applyAlignment="0" applyProtection="0">
      <alignment vertical="top"/>
      <protection locked="0"/>
    </xf>
    <xf numFmtId="178" fontId="54" fillId="57" borderId="0" applyNumberFormat="0" applyBorder="0">
      <alignment horizontal="right" vertical="center"/>
    </xf>
    <xf numFmtId="19" fontId="54" fillId="57" borderId="29" applyNumberFormat="0" applyBorder="0">
      <alignment horizontal="left" vertical="center"/>
    </xf>
    <xf numFmtId="2" fontId="55" fillId="58" borderId="0">
      <alignment horizontal="center" vertical="center"/>
    </xf>
    <xf numFmtId="2" fontId="55" fillId="58" borderId="30" applyBorder="0">
      <alignment horizontal="left" vertical="center"/>
    </xf>
    <xf numFmtId="178" fontId="54" fillId="57" borderId="0">
      <alignment horizontal="right" vertical="center"/>
    </xf>
    <xf numFmtId="178" fontId="19" fillId="59" borderId="31" applyNumberFormat="0" applyAlignment="0">
      <protection locked="0"/>
    </xf>
    <xf numFmtId="178" fontId="9" fillId="6" borderId="15" applyNumberFormat="0" applyAlignment="0" applyProtection="0"/>
    <xf numFmtId="178" fontId="66" fillId="60" borderId="32" applyNumberFormat="0" applyAlignment="0">
      <protection locked="0"/>
    </xf>
    <xf numFmtId="178" fontId="74" fillId="40" borderId="22" applyNumberFormat="0" applyAlignment="0" applyProtection="0"/>
    <xf numFmtId="178" fontId="32" fillId="40" borderId="22" applyNumberFormat="0" applyAlignment="0" applyProtection="0"/>
    <xf numFmtId="178" fontId="19" fillId="59" borderId="31" applyNumberFormat="0" applyAlignment="0">
      <protection locked="0"/>
    </xf>
    <xf numFmtId="178" fontId="66" fillId="60" borderId="32" applyNumberFormat="0" applyAlignment="0">
      <protection locked="0"/>
    </xf>
    <xf numFmtId="178" fontId="66" fillId="60" borderId="32" applyNumberFormat="0" applyAlignment="0">
      <protection locked="0"/>
    </xf>
    <xf numFmtId="178" fontId="66" fillId="60" borderId="32" applyNumberFormat="0" applyAlignment="0">
      <protection locked="0"/>
    </xf>
    <xf numFmtId="178" fontId="66" fillId="60" borderId="32" applyNumberFormat="0" applyAlignment="0">
      <protection locked="0"/>
    </xf>
    <xf numFmtId="178" fontId="66" fillId="60" borderId="32" applyNumberFormat="0" applyAlignment="0">
      <protection locked="0"/>
    </xf>
    <xf numFmtId="178" fontId="32" fillId="40" borderId="22" applyNumberFormat="0" applyAlignment="0" applyProtection="0"/>
    <xf numFmtId="178" fontId="66" fillId="60" borderId="32" applyNumberFormat="0" applyAlignment="0">
      <protection locked="0"/>
    </xf>
    <xf numFmtId="172" fontId="25" fillId="61" borderId="0"/>
    <xf numFmtId="178" fontId="18" fillId="62" borderId="31" applyNumberFormat="0" applyAlignment="0">
      <protection locked="0"/>
    </xf>
    <xf numFmtId="178" fontId="18" fillId="63" borderId="0">
      <alignment horizontal="right" vertical="center"/>
    </xf>
    <xf numFmtId="2" fontId="18" fillId="63" borderId="29" applyNumberFormat="0" applyBorder="0">
      <alignment horizontal="right" vertical="center"/>
    </xf>
    <xf numFmtId="2" fontId="56" fillId="64" borderId="0">
      <alignment horizontal="right" vertical="center"/>
    </xf>
    <xf numFmtId="2" fontId="56" fillId="64" borderId="30" applyBorder="0">
      <alignment horizontal="left" vertical="center"/>
    </xf>
    <xf numFmtId="15" fontId="57" fillId="65" borderId="33" applyNumberFormat="0" applyBorder="0">
      <alignment horizontal="right" vertical="center"/>
    </xf>
    <xf numFmtId="2" fontId="58" fillId="66" borderId="30" applyNumberFormat="0">
      <alignment horizontal="center" vertical="center"/>
    </xf>
    <xf numFmtId="2" fontId="18" fillId="67" borderId="34" applyNumberFormat="0" applyBorder="0">
      <alignment horizontal="right" vertical="center"/>
    </xf>
    <xf numFmtId="178" fontId="49" fillId="0" borderId="35" applyNumberFormat="0" applyFill="0" applyAlignment="0" applyProtection="0"/>
    <xf numFmtId="178" fontId="75" fillId="0" borderId="35" applyNumberFormat="0" applyFill="0" applyAlignment="0" applyProtection="0"/>
    <xf numFmtId="178" fontId="49" fillId="0" borderId="35" applyNumberFormat="0" applyFill="0" applyAlignment="0" applyProtection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8" fontId="88" fillId="5" borderId="0" applyNumberFormat="0" applyBorder="0" applyAlignment="0" applyProtection="0"/>
    <xf numFmtId="178" fontId="50" fillId="43" borderId="0" applyNumberFormat="0" applyBorder="0" applyAlignment="0" applyProtection="0"/>
    <xf numFmtId="178" fontId="76" fillId="43" borderId="0" applyNumberFormat="0" applyBorder="0" applyAlignment="0" applyProtection="0"/>
    <xf numFmtId="178" fontId="50" fillId="43" borderId="0" applyNumberFormat="0" applyBorder="0" applyAlignment="0" applyProtection="0"/>
    <xf numFmtId="178" fontId="18" fillId="0" borderId="0" applyNumberFormat="0" applyFont="0" applyFill="0" applyBorder="0" applyAlignment="0"/>
    <xf numFmtId="168" fontId="18" fillId="0" borderId="0" applyNumberFormat="0" applyBorder="0" applyAlignment="0">
      <alignment horizontal="center"/>
      <protection locked="0"/>
    </xf>
    <xf numFmtId="168" fontId="66" fillId="0" borderId="0" applyNumberFormat="0" applyBorder="0" applyAlignment="0">
      <alignment horizontal="center"/>
      <protection locked="0"/>
    </xf>
    <xf numFmtId="173" fontId="18" fillId="0" borderId="0" applyNumberFormat="0" applyBorder="0" applyAlignment="0">
      <alignment horizontal="center"/>
      <protection locked="0"/>
    </xf>
    <xf numFmtId="6" fontId="18" fillId="0" borderId="0" applyNumberFormat="0" applyBorder="0" applyAlignment="0">
      <alignment horizontal="center"/>
      <protection locked="0"/>
    </xf>
    <xf numFmtId="177" fontId="59" fillId="0" borderId="0"/>
    <xf numFmtId="178" fontId="2" fillId="0" borderId="0"/>
    <xf numFmtId="178" fontId="41" fillId="0" borderId="0"/>
    <xf numFmtId="178" fontId="41" fillId="0" borderId="0"/>
    <xf numFmtId="178" fontId="41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18" fillId="0" borderId="0"/>
    <xf numFmtId="178" fontId="2" fillId="0" borderId="0"/>
    <xf numFmtId="178" fontId="2" fillId="0" borderId="0"/>
    <xf numFmtId="178" fontId="41" fillId="0" borderId="0"/>
    <xf numFmtId="178" fontId="2" fillId="0" borderId="0"/>
    <xf numFmtId="178" fontId="2" fillId="0" borderId="0"/>
    <xf numFmtId="178" fontId="3" fillId="0" borderId="0"/>
    <xf numFmtId="178" fontId="2" fillId="0" borderId="0"/>
    <xf numFmtId="178" fontId="2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18" fillId="0" borderId="0"/>
    <xf numFmtId="178" fontId="3" fillId="0" borderId="0"/>
    <xf numFmtId="178" fontId="3" fillId="0" borderId="0"/>
    <xf numFmtId="178" fontId="3" fillId="0" borderId="0"/>
    <xf numFmtId="178" fontId="18" fillId="0" borderId="0"/>
    <xf numFmtId="178" fontId="18" fillId="0" borderId="0"/>
    <xf numFmtId="178" fontId="18" fillId="0" borderId="0"/>
    <xf numFmtId="178" fontId="18" fillId="0" borderId="0"/>
    <xf numFmtId="178" fontId="3" fillId="0" borderId="0"/>
    <xf numFmtId="178" fontId="2" fillId="0" borderId="0"/>
    <xf numFmtId="178" fontId="2" fillId="0" borderId="0"/>
    <xf numFmtId="178" fontId="3" fillId="0" borderId="0"/>
    <xf numFmtId="178" fontId="3" fillId="0" borderId="0"/>
    <xf numFmtId="178" fontId="2" fillId="0" borderId="0"/>
    <xf numFmtId="178" fontId="26" fillId="0" borderId="0"/>
    <xf numFmtId="178" fontId="3" fillId="0" borderId="0"/>
    <xf numFmtId="178" fontId="2" fillId="0" borderId="0"/>
    <xf numFmtId="178" fontId="3" fillId="0" borderId="0"/>
    <xf numFmtId="178" fontId="40" fillId="0" borderId="0"/>
    <xf numFmtId="178" fontId="3" fillId="0" borderId="0"/>
    <xf numFmtId="178" fontId="18" fillId="0" borderId="0"/>
    <xf numFmtId="178" fontId="18" fillId="0" borderId="0"/>
    <xf numFmtId="178" fontId="40" fillId="0" borderId="0"/>
    <xf numFmtId="178" fontId="40" fillId="0" borderId="0"/>
    <xf numFmtId="178" fontId="3" fillId="0" borderId="0"/>
    <xf numFmtId="178" fontId="26" fillId="0" borderId="0"/>
    <xf numFmtId="178" fontId="41" fillId="0" borderId="0"/>
    <xf numFmtId="178" fontId="41" fillId="0" borderId="0"/>
    <xf numFmtId="178" fontId="2" fillId="0" borderId="0"/>
    <xf numFmtId="178" fontId="41" fillId="0" borderId="0"/>
    <xf numFmtId="178" fontId="41" fillId="0" borderId="0"/>
    <xf numFmtId="178" fontId="2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41" fillId="0" borderId="0"/>
    <xf numFmtId="178" fontId="2" fillId="0" borderId="0"/>
    <xf numFmtId="178" fontId="3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2" fillId="0" borderId="0"/>
    <xf numFmtId="178" fontId="41" fillId="0" borderId="0"/>
    <xf numFmtId="178" fontId="41" fillId="0" borderId="0"/>
    <xf numFmtId="178" fontId="41" fillId="0" borderId="0"/>
    <xf numFmtId="178" fontId="2" fillId="0" borderId="0"/>
    <xf numFmtId="178" fontId="41" fillId="0" borderId="0"/>
    <xf numFmtId="178" fontId="2" fillId="0" borderId="0"/>
    <xf numFmtId="178" fontId="41" fillId="0" borderId="0"/>
    <xf numFmtId="178" fontId="41" fillId="0" borderId="0"/>
    <xf numFmtId="178" fontId="2" fillId="0" borderId="0"/>
    <xf numFmtId="178" fontId="41" fillId="0" borderId="0"/>
    <xf numFmtId="178" fontId="3" fillId="0" borderId="0"/>
    <xf numFmtId="178" fontId="2" fillId="0" borderId="0"/>
    <xf numFmtId="178" fontId="3" fillId="0" borderId="0"/>
    <xf numFmtId="178" fontId="3" fillId="0" borderId="0"/>
    <xf numFmtId="178" fontId="2" fillId="0" borderId="0"/>
    <xf numFmtId="178" fontId="3" fillId="0" borderId="0"/>
    <xf numFmtId="178" fontId="3" fillId="0" borderId="0"/>
    <xf numFmtId="178" fontId="18" fillId="0" borderId="0"/>
    <xf numFmtId="178" fontId="41" fillId="0" borderId="0"/>
    <xf numFmtId="178" fontId="41" fillId="0" borderId="0"/>
    <xf numFmtId="178" fontId="3" fillId="0" borderId="0"/>
    <xf numFmtId="178" fontId="42" fillId="0" borderId="0"/>
    <xf numFmtId="178" fontId="42" fillId="0" borderId="0"/>
    <xf numFmtId="178" fontId="3" fillId="0" borderId="0"/>
    <xf numFmtId="178" fontId="42" fillId="0" borderId="0"/>
    <xf numFmtId="178" fontId="18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2" fillId="0" borderId="0"/>
    <xf numFmtId="178" fontId="41" fillId="0" borderId="0"/>
    <xf numFmtId="178" fontId="41" fillId="0" borderId="0"/>
    <xf numFmtId="178" fontId="3" fillId="0" borderId="0"/>
    <xf numFmtId="178" fontId="3" fillId="0" borderId="0"/>
    <xf numFmtId="178" fontId="41" fillId="0" borderId="0"/>
    <xf numFmtId="178" fontId="3" fillId="0" borderId="0"/>
    <xf numFmtId="178" fontId="2" fillId="0" borderId="0"/>
    <xf numFmtId="178" fontId="2" fillId="0" borderId="0"/>
    <xf numFmtId="178" fontId="3" fillId="0" borderId="0"/>
    <xf numFmtId="178" fontId="3" fillId="0" borderId="0"/>
    <xf numFmtId="178" fontId="2" fillId="0" borderId="0"/>
    <xf numFmtId="178" fontId="41" fillId="0" borderId="0"/>
    <xf numFmtId="178" fontId="18" fillId="0" borderId="0"/>
    <xf numFmtId="178" fontId="41" fillId="0" borderId="0"/>
    <xf numFmtId="178" fontId="3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41" fillId="0" borderId="0"/>
    <xf numFmtId="178" fontId="3" fillId="0" borderId="0"/>
    <xf numFmtId="178" fontId="41" fillId="0" borderId="0"/>
    <xf numFmtId="178" fontId="18" fillId="0" borderId="0"/>
    <xf numFmtId="178" fontId="41" fillId="0" borderId="0"/>
    <xf numFmtId="178" fontId="18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41" fillId="0" borderId="0">
      <alignment vertical="top"/>
    </xf>
    <xf numFmtId="178" fontId="18" fillId="0" borderId="0"/>
    <xf numFmtId="178" fontId="41" fillId="0" borderId="0">
      <alignment vertical="top"/>
    </xf>
    <xf numFmtId="178" fontId="41" fillId="0" borderId="0">
      <alignment vertical="top"/>
    </xf>
    <xf numFmtId="178" fontId="3" fillId="0" borderId="0"/>
    <xf numFmtId="178" fontId="41" fillId="0" borderId="0"/>
    <xf numFmtId="178" fontId="41" fillId="0" borderId="0"/>
    <xf numFmtId="178" fontId="3" fillId="0" borderId="0"/>
    <xf numFmtId="178" fontId="18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3" fillId="0" borderId="0"/>
    <xf numFmtId="178" fontId="18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41" fillId="0" borderId="0"/>
    <xf numFmtId="178" fontId="18" fillId="0" borderId="0"/>
    <xf numFmtId="178" fontId="2" fillId="0" borderId="0"/>
    <xf numFmtId="178" fontId="18" fillId="0" borderId="0"/>
    <xf numFmtId="178" fontId="2" fillId="0" borderId="0"/>
    <xf numFmtId="178" fontId="2" fillId="0" borderId="0"/>
    <xf numFmtId="178" fontId="41" fillId="0" borderId="0"/>
    <xf numFmtId="178" fontId="18" fillId="0" borderId="0"/>
    <xf numFmtId="178" fontId="41" fillId="0" borderId="0"/>
    <xf numFmtId="178" fontId="3" fillId="0" borderId="0"/>
    <xf numFmtId="178" fontId="3" fillId="0" borderId="0"/>
    <xf numFmtId="178" fontId="41" fillId="0" borderId="0"/>
    <xf numFmtId="178" fontId="41" fillId="0" borderId="0"/>
    <xf numFmtId="178" fontId="3" fillId="0" borderId="0"/>
    <xf numFmtId="178" fontId="2" fillId="0" borderId="0"/>
    <xf numFmtId="178" fontId="2" fillId="0" borderId="0"/>
    <xf numFmtId="178" fontId="3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2" fillId="0" borderId="0"/>
    <xf numFmtId="178" fontId="41" fillId="0" borderId="0"/>
    <xf numFmtId="178" fontId="3" fillId="0" borderId="0"/>
    <xf numFmtId="178" fontId="18" fillId="0" borderId="0"/>
    <xf numFmtId="178" fontId="18" fillId="0" borderId="0"/>
    <xf numFmtId="178" fontId="3" fillId="0" borderId="0"/>
    <xf numFmtId="178" fontId="41" fillId="0" borderId="0"/>
    <xf numFmtId="178" fontId="41" fillId="0" borderId="0"/>
    <xf numFmtId="178" fontId="18" fillId="0" borderId="0"/>
    <xf numFmtId="178" fontId="18" fillId="0" borderId="0"/>
    <xf numFmtId="178" fontId="21" fillId="0" borderId="0"/>
    <xf numFmtId="178" fontId="2" fillId="0" borderId="0"/>
    <xf numFmtId="178" fontId="2" fillId="0" borderId="0"/>
    <xf numFmtId="178" fontId="2" fillId="0" borderId="0"/>
    <xf numFmtId="178" fontId="3" fillId="0" borderId="0"/>
    <xf numFmtId="178" fontId="3" fillId="0" borderId="0"/>
    <xf numFmtId="178" fontId="3" fillId="0" borderId="0"/>
    <xf numFmtId="178" fontId="18" fillId="0" borderId="0"/>
    <xf numFmtId="178" fontId="3" fillId="0" borderId="0"/>
    <xf numFmtId="178" fontId="3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18" fillId="0" borderId="0"/>
    <xf numFmtId="178" fontId="18" fillId="0" borderId="0"/>
    <xf numFmtId="178" fontId="18" fillId="0" borderId="0"/>
    <xf numFmtId="178" fontId="3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3" fillId="0" borderId="0"/>
    <xf numFmtId="178" fontId="3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41" fillId="0" borderId="0"/>
    <xf numFmtId="178" fontId="3" fillId="0" borderId="0"/>
    <xf numFmtId="178" fontId="41" fillId="0" borderId="0"/>
    <xf numFmtId="178" fontId="18" fillId="0" borderId="0"/>
    <xf numFmtId="178" fontId="36" fillId="0" borderId="0"/>
    <xf numFmtId="178" fontId="36" fillId="0" borderId="0"/>
    <xf numFmtId="178" fontId="36" fillId="0" borderId="0"/>
    <xf numFmtId="178" fontId="18" fillId="0" borderId="0"/>
    <xf numFmtId="178" fontId="18" fillId="0" borderId="0"/>
    <xf numFmtId="178" fontId="3" fillId="0" borderId="0"/>
    <xf numFmtId="178" fontId="18" fillId="0" borderId="0"/>
    <xf numFmtId="178" fontId="18" fillId="0" borderId="0"/>
    <xf numFmtId="178" fontId="3" fillId="0" borderId="0"/>
    <xf numFmtId="178" fontId="41" fillId="0" borderId="0"/>
    <xf numFmtId="178" fontId="41" fillId="0" borderId="0"/>
    <xf numFmtId="178" fontId="3" fillId="0" borderId="0"/>
    <xf numFmtId="178" fontId="3" fillId="0" borderId="0"/>
    <xf numFmtId="178" fontId="3" fillId="0" borderId="0"/>
    <xf numFmtId="178" fontId="41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18" fillId="0" borderId="0"/>
    <xf numFmtId="178" fontId="36" fillId="0" borderId="0"/>
    <xf numFmtId="178" fontId="41" fillId="0" borderId="0"/>
    <xf numFmtId="178" fontId="41" fillId="0" borderId="0"/>
    <xf numFmtId="178" fontId="3" fillId="0" borderId="0"/>
    <xf numFmtId="178" fontId="3" fillId="0" borderId="0"/>
    <xf numFmtId="178" fontId="41" fillId="0" borderId="0"/>
    <xf numFmtId="178" fontId="2" fillId="0" borderId="0"/>
    <xf numFmtId="178" fontId="41" fillId="0" borderId="0"/>
    <xf numFmtId="178" fontId="3" fillId="0" borderId="0"/>
    <xf numFmtId="178" fontId="3" fillId="0" borderId="0"/>
    <xf numFmtId="178" fontId="41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2" fillId="9" borderId="19" applyNumberFormat="0" applyFont="0" applyAlignment="0" applyProtection="0"/>
    <xf numFmtId="178" fontId="21" fillId="38" borderId="31" applyNumberFormat="0" applyFont="0" applyAlignment="0" applyProtection="0"/>
    <xf numFmtId="178" fontId="18" fillId="38" borderId="31" applyNumberFormat="0" applyFont="0" applyAlignment="0" applyProtection="0"/>
    <xf numFmtId="178" fontId="26" fillId="38" borderId="31" applyNumberFormat="0" applyFont="0" applyAlignment="0" applyProtection="0"/>
    <xf numFmtId="178" fontId="39" fillId="68" borderId="36" applyNumberFormat="0" applyBorder="0">
      <alignment horizontal="left" vertical="center"/>
    </xf>
    <xf numFmtId="2" fontId="39" fillId="68" borderId="30" applyNumberFormat="0" applyBorder="0">
      <alignment horizontal="left" vertical="center"/>
    </xf>
    <xf numFmtId="2" fontId="56" fillId="64" borderId="37" applyNumberFormat="0" applyBorder="0">
      <alignment horizontal="left" vertical="center"/>
    </xf>
    <xf numFmtId="2" fontId="56" fillId="64" borderId="30" applyNumberFormat="0" applyBorder="0">
      <alignment horizontal="left" vertical="center"/>
    </xf>
    <xf numFmtId="178" fontId="34" fillId="55" borderId="38" applyNumberFormat="0" applyAlignment="0" applyProtection="0"/>
    <xf numFmtId="178" fontId="77" fillId="55" borderId="38" applyNumberFormat="0" applyAlignment="0" applyProtection="0"/>
    <xf numFmtId="178" fontId="34" fillId="55" borderId="38" applyNumberFormat="0" applyAlignment="0" applyProtection="0"/>
    <xf numFmtId="178" fontId="18" fillId="69" borderId="0">
      <alignment horizontal="right" vertical="center"/>
    </xf>
    <xf numFmtId="19" fontId="18" fillId="69" borderId="34" applyNumberFormat="0" applyBorder="0">
      <alignment horizontal="right" vertical="center"/>
    </xf>
    <xf numFmtId="2" fontId="60" fillId="70" borderId="0">
      <alignment horizontal="center" vertical="center"/>
    </xf>
    <xf numFmtId="2" fontId="60" fillId="70" borderId="39">
      <alignment horizontal="left" vertical="center"/>
    </xf>
    <xf numFmtId="178" fontId="61" fillId="71" borderId="40">
      <alignment horizontal="center"/>
    </xf>
    <xf numFmtId="14" fontId="22" fillId="0" borderId="0">
      <alignment horizontal="center" wrapText="1"/>
      <protection locked="0"/>
    </xf>
    <xf numFmtId="9" fontId="1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175" fontId="62" fillId="72" borderId="0">
      <alignment horizontal="center" vertical="center"/>
    </xf>
    <xf numFmtId="178" fontId="83" fillId="0" borderId="21"/>
    <xf numFmtId="176" fontId="63" fillId="73" borderId="0">
      <alignment horizontal="center" vertical="center"/>
      <protection locked="0"/>
    </xf>
    <xf numFmtId="178" fontId="18" fillId="0" borderId="0" applyFont="0" applyFill="0" applyBorder="0" applyAlignment="0" applyProtection="0"/>
    <xf numFmtId="178" fontId="21" fillId="0" borderId="0">
      <alignment vertical="top"/>
    </xf>
    <xf numFmtId="2" fontId="64" fillId="74" borderId="36" applyNumberFormat="0" applyFill="0" applyBorder="0" applyAlignment="0">
      <alignment horizontal="center"/>
      <protection locked="0"/>
    </xf>
    <xf numFmtId="2" fontId="84" fillId="0" borderId="21"/>
    <xf numFmtId="170" fontId="84" fillId="0" borderId="21"/>
    <xf numFmtId="2" fontId="85" fillId="75" borderId="21"/>
    <xf numFmtId="170" fontId="85" fillId="75" borderId="21"/>
    <xf numFmtId="2" fontId="18" fillId="76" borderId="30" applyBorder="0">
      <alignment horizontal="right" vertical="center"/>
    </xf>
    <xf numFmtId="2" fontId="18" fillId="76" borderId="0">
      <alignment horizontal="right" vertical="center"/>
    </xf>
    <xf numFmtId="2" fontId="56" fillId="77" borderId="40">
      <alignment horizontal="center" vertical="center"/>
    </xf>
    <xf numFmtId="2" fontId="56" fillId="77" borderId="0" applyNumberFormat="0" applyBorder="0">
      <alignment horizontal="left" vertical="center"/>
    </xf>
    <xf numFmtId="2" fontId="56" fillId="77" borderId="40">
      <alignment horizontal="center" vertical="center"/>
    </xf>
    <xf numFmtId="2" fontId="86" fillId="78" borderId="21"/>
    <xf numFmtId="170" fontId="86" fillId="78" borderId="21"/>
    <xf numFmtId="2" fontId="86" fillId="79" borderId="21"/>
    <xf numFmtId="170" fontId="86" fillId="79" borderId="21"/>
    <xf numFmtId="2" fontId="85" fillId="53" borderId="21"/>
    <xf numFmtId="170" fontId="85" fillId="53" borderId="21"/>
    <xf numFmtId="178" fontId="86" fillId="80" borderId="21"/>
    <xf numFmtId="2" fontId="86" fillId="81" borderId="21"/>
    <xf numFmtId="170" fontId="86" fillId="81" borderId="21"/>
    <xf numFmtId="178" fontId="87" fillId="82" borderId="21"/>
    <xf numFmtId="178" fontId="89" fillId="0" borderId="0" applyNumberFormat="0" applyFill="0" applyBorder="0" applyAlignment="0" applyProtection="0"/>
    <xf numFmtId="178" fontId="51" fillId="0" borderId="0" applyNumberFormat="0" applyFill="0" applyBorder="0" applyAlignment="0" applyProtection="0"/>
    <xf numFmtId="178" fontId="51" fillId="0" borderId="0" applyNumberFormat="0" applyFill="0" applyBorder="0" applyAlignment="0" applyProtection="0"/>
    <xf numFmtId="178" fontId="35" fillId="0" borderId="41" applyNumberFormat="0" applyFill="0" applyAlignment="0" applyProtection="0"/>
    <xf numFmtId="178" fontId="65" fillId="0" borderId="41" applyNumberFormat="0" applyFill="0" applyAlignment="0" applyProtection="0"/>
    <xf numFmtId="178" fontId="18" fillId="0" borderId="42" applyNumberFormat="0" applyFont="0" applyFill="0" applyAlignment="0" applyProtection="0"/>
    <xf numFmtId="178" fontId="35" fillId="0" borderId="41" applyNumberFormat="0" applyFill="0" applyAlignment="0" applyProtection="0"/>
    <xf numFmtId="178" fontId="33" fillId="0" borderId="0" applyNumberFormat="0" applyFill="0" applyBorder="0" applyAlignment="0" applyProtection="0"/>
    <xf numFmtId="178" fontId="38" fillId="0" borderId="0" applyNumberFormat="0" applyFill="0" applyBorder="0" applyAlignment="0" applyProtection="0"/>
    <xf numFmtId="178" fontId="33" fillId="0" borderId="0" applyNumberFormat="0" applyFill="0" applyBorder="0" applyAlignment="0" applyProtection="0"/>
    <xf numFmtId="178" fontId="92" fillId="0" borderId="0"/>
    <xf numFmtId="165" fontId="92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178" fontId="19" fillId="59" borderId="31" applyNumberFormat="0" applyAlignment="0">
      <protection locked="0"/>
    </xf>
    <xf numFmtId="178" fontId="19" fillId="59" borderId="31" applyNumberFormat="0" applyAlignment="0">
      <protection locked="0"/>
    </xf>
    <xf numFmtId="178" fontId="19" fillId="59" borderId="31" applyNumberFormat="0" applyAlignment="0">
      <protection locked="0"/>
    </xf>
    <xf numFmtId="9" fontId="92" fillId="0" borderId="0" applyFont="0" applyFill="0" applyBorder="0" applyAlignment="0" applyProtection="0"/>
    <xf numFmtId="178" fontId="92" fillId="0" borderId="0"/>
    <xf numFmtId="178" fontId="92" fillId="0" borderId="0"/>
    <xf numFmtId="178" fontId="9" fillId="6" borderId="15" applyNumberFormat="0" applyAlignment="0" applyProtection="0"/>
    <xf numFmtId="178" fontId="2" fillId="9" borderId="19" applyNumberFormat="0" applyFont="0" applyAlignment="0" applyProtection="0"/>
    <xf numFmtId="178" fontId="93" fillId="0" borderId="0"/>
    <xf numFmtId="165" fontId="93" fillId="0" borderId="0" applyFont="0" applyFill="0" applyBorder="0" applyAlignment="0" applyProtection="0"/>
    <xf numFmtId="9" fontId="93" fillId="0" borderId="0" applyFont="0" applyFill="0" applyBorder="0" applyAlignment="0" applyProtection="0"/>
  </cellStyleXfs>
  <cellXfs count="147">
    <xf numFmtId="178" fontId="0" fillId="0" borderId="0" xfId="0"/>
    <xf numFmtId="15" fontId="0" fillId="0" borderId="0" xfId="0" applyNumberFormat="1"/>
    <xf numFmtId="178" fontId="1" fillId="0" borderId="0" xfId="0" applyFont="1" applyAlignment="1">
      <alignment horizontal="right"/>
    </xf>
    <xf numFmtId="178" fontId="0" fillId="0" borderId="0" xfId="0" applyAlignment="1">
      <alignment horizontal="center"/>
    </xf>
    <xf numFmtId="178" fontId="1" fillId="0" borderId="0" xfId="0" applyFont="1" applyAlignment="1">
      <alignment horizontal="center"/>
    </xf>
    <xf numFmtId="178" fontId="1" fillId="0" borderId="0" xfId="0" applyFont="1" applyAlignment="1">
      <alignment horizontal="center"/>
    </xf>
    <xf numFmtId="164" fontId="0" fillId="0" borderId="0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78" fontId="0" fillId="0" borderId="0" xfId="0" applyAlignment="1">
      <alignment horizontal="right"/>
    </xf>
    <xf numFmtId="10" fontId="0" fillId="0" borderId="0" xfId="1" applyNumberFormat="1" applyFont="1"/>
    <xf numFmtId="178" fontId="1" fillId="0" borderId="0" xfId="0" applyFont="1" applyAlignment="1">
      <alignment horizontal="center"/>
    </xf>
    <xf numFmtId="178" fontId="1" fillId="0" borderId="0" xfId="0" applyFont="1" applyAlignment="1">
      <alignment horizontal="center"/>
    </xf>
    <xf numFmtId="43" fontId="0" fillId="0" borderId="0" xfId="0" applyNumberFormat="1"/>
    <xf numFmtId="164" fontId="0" fillId="0" borderId="0" xfId="0" applyNumberFormat="1"/>
    <xf numFmtId="178" fontId="1" fillId="2" borderId="10" xfId="0" applyFont="1" applyFill="1" applyBorder="1" applyAlignment="1">
      <alignment horizontal="center"/>
    </xf>
    <xf numFmtId="178" fontId="1" fillId="0" borderId="0" xfId="0" applyFont="1" applyAlignment="1">
      <alignment horizontal="center"/>
    </xf>
    <xf numFmtId="178" fontId="1" fillId="0" borderId="0" xfId="0" applyFont="1" applyAlignment="1">
      <alignment horizontal="center"/>
    </xf>
    <xf numFmtId="10" fontId="0" fillId="2" borderId="4" xfId="1" applyNumberFormat="1" applyFont="1" applyFill="1" applyBorder="1"/>
    <xf numFmtId="10" fontId="0" fillId="2" borderId="0" xfId="1" applyNumberFormat="1" applyFont="1" applyFill="1" applyBorder="1"/>
    <xf numFmtId="10" fontId="0" fillId="2" borderId="5" xfId="1" applyNumberFormat="1" applyFont="1" applyFill="1" applyBorder="1"/>
    <xf numFmtId="10" fontId="0" fillId="2" borderId="6" xfId="1" applyNumberFormat="1" applyFont="1" applyFill="1" applyBorder="1"/>
    <xf numFmtId="10" fontId="0" fillId="2" borderId="7" xfId="1" applyNumberFormat="1" applyFont="1" applyFill="1" applyBorder="1"/>
    <xf numFmtId="10" fontId="0" fillId="2" borderId="8" xfId="1" applyNumberFormat="1" applyFont="1" applyFill="1" applyBorder="1"/>
    <xf numFmtId="10" fontId="0" fillId="2" borderId="43" xfId="1" applyNumberFormat="1" applyFont="1" applyFill="1" applyBorder="1"/>
    <xf numFmtId="10" fontId="0" fillId="2" borderId="44" xfId="1" applyNumberFormat="1" applyFont="1" applyFill="1" applyBorder="1"/>
    <xf numFmtId="178" fontId="1" fillId="0" borderId="0" xfId="0" applyFont="1"/>
    <xf numFmtId="10" fontId="0" fillId="84" borderId="4" xfId="1" applyNumberFormat="1" applyFont="1" applyFill="1" applyBorder="1"/>
    <xf numFmtId="10" fontId="0" fillId="84" borderId="0" xfId="1" applyNumberFormat="1" applyFont="1" applyFill="1" applyBorder="1"/>
    <xf numFmtId="10" fontId="0" fillId="84" borderId="43" xfId="1" applyNumberFormat="1" applyFont="1" applyFill="1" applyBorder="1"/>
    <xf numFmtId="10" fontId="0" fillId="84" borderId="5" xfId="1" applyNumberFormat="1" applyFont="1" applyFill="1" applyBorder="1"/>
    <xf numFmtId="178" fontId="1" fillId="84" borderId="9" xfId="0" applyFont="1" applyFill="1" applyBorder="1" applyAlignment="1">
      <alignment horizontal="center"/>
    </xf>
    <xf numFmtId="164" fontId="0" fillId="2" borderId="4" xfId="0" applyNumberFormat="1" applyFill="1" applyBorder="1"/>
    <xf numFmtId="164" fontId="0" fillId="84" borderId="0" xfId="0" applyNumberFormat="1" applyFill="1" applyBorder="1"/>
    <xf numFmtId="178" fontId="1" fillId="0" borderId="9" xfId="0" applyFont="1" applyBorder="1" applyAlignment="1">
      <alignment horizontal="center"/>
    </xf>
    <xf numFmtId="178" fontId="1" fillId="0" borderId="11" xfId="0" applyFont="1" applyBorder="1" applyAlignment="1">
      <alignment horizontal="center"/>
    </xf>
    <xf numFmtId="178" fontId="91" fillId="0" borderId="0" xfId="0" applyFont="1" applyAlignment="1">
      <alignment vertical="center"/>
    </xf>
    <xf numFmtId="178" fontId="1" fillId="0" borderId="2" xfId="0" applyFont="1" applyBorder="1" applyAlignment="1">
      <alignment horizontal="center"/>
    </xf>
    <xf numFmtId="178" fontId="1" fillId="0" borderId="3" xfId="0" applyFont="1" applyBorder="1" applyAlignment="1">
      <alignment horizontal="center"/>
    </xf>
    <xf numFmtId="178" fontId="1" fillId="0" borderId="10" xfId="0" applyFont="1" applyBorder="1" applyAlignment="1">
      <alignment horizontal="center"/>
    </xf>
    <xf numFmtId="178" fontId="90" fillId="0" borderId="9" xfId="0" applyFont="1" applyBorder="1" applyAlignment="1">
      <alignment horizontal="center"/>
    </xf>
    <xf numFmtId="178" fontId="90" fillId="0" borderId="11" xfId="0" applyFont="1" applyBorder="1" applyAlignment="1">
      <alignment horizontal="center"/>
    </xf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7" xfId="0" applyNumberFormat="1" applyBorder="1"/>
    <xf numFmtId="2" fontId="0" fillId="0" borderId="8" xfId="0" applyNumberFormat="1" applyBorder="1"/>
    <xf numFmtId="17" fontId="0" fillId="0" borderId="0" xfId="0" applyNumberFormat="1"/>
    <xf numFmtId="178" fontId="13" fillId="85" borderId="0" xfId="0" applyFont="1" applyFill="1" applyAlignment="1">
      <alignment horizontal="center"/>
    </xf>
    <xf numFmtId="178" fontId="13" fillId="85" borderId="0" xfId="0" applyFont="1" applyFill="1"/>
    <xf numFmtId="43" fontId="0" fillId="2" borderId="0" xfId="2" applyFont="1" applyFill="1"/>
    <xf numFmtId="178" fontId="0" fillId="2" borderId="0" xfId="0" applyFill="1"/>
    <xf numFmtId="179" fontId="0" fillId="2" borderId="0" xfId="2" applyNumberFormat="1" applyFont="1" applyFill="1"/>
    <xf numFmtId="179" fontId="13" fillId="85" borderId="0" xfId="2" applyNumberFormat="1" applyFont="1" applyFill="1" applyAlignment="1">
      <alignment horizontal="center"/>
    </xf>
    <xf numFmtId="178" fontId="1" fillId="0" borderId="0" xfId="0" applyFont="1" applyAlignment="1">
      <alignment horizontal="center"/>
    </xf>
    <xf numFmtId="43" fontId="0" fillId="2" borderId="0" xfId="0" applyNumberFormat="1" applyFill="1"/>
    <xf numFmtId="178" fontId="0" fillId="0" borderId="0" xfId="0"/>
    <xf numFmtId="178" fontId="0" fillId="0" borderId="2" xfId="0" applyBorder="1"/>
    <xf numFmtId="17" fontId="0" fillId="0" borderId="2" xfId="0" applyNumberFormat="1" applyBorder="1"/>
    <xf numFmtId="43" fontId="0" fillId="2" borderId="2" xfId="2" applyFont="1" applyFill="1" applyBorder="1"/>
    <xf numFmtId="43" fontId="0" fillId="0" borderId="2" xfId="0" applyNumberFormat="1" applyBorder="1"/>
    <xf numFmtId="178" fontId="0" fillId="0" borderId="2" xfId="0" applyBorder="1" applyAlignment="1">
      <alignment horizontal="center"/>
    </xf>
    <xf numFmtId="179" fontId="0" fillId="2" borderId="2" xfId="2" applyNumberFormat="1" applyFont="1" applyFill="1" applyBorder="1"/>
    <xf numFmtId="9" fontId="0" fillId="0" borderId="46" xfId="1" applyNumberFormat="1" applyFont="1" applyBorder="1" applyAlignment="1">
      <alignment horizontal="center"/>
    </xf>
    <xf numFmtId="9" fontId="0" fillId="0" borderId="47" xfId="1" applyNumberFormat="1" applyFont="1" applyBorder="1" applyAlignment="1">
      <alignment horizontal="center"/>
    </xf>
    <xf numFmtId="10" fontId="0" fillId="0" borderId="4" xfId="1" applyNumberFormat="1" applyFont="1" applyBorder="1"/>
    <xf numFmtId="10" fontId="0" fillId="0" borderId="5" xfId="1" applyNumberFormat="1" applyFont="1" applyBorder="1"/>
    <xf numFmtId="10" fontId="0" fillId="0" borderId="6" xfId="1" applyNumberFormat="1" applyFont="1" applyBorder="1"/>
    <xf numFmtId="10" fontId="0" fillId="0" borderId="8" xfId="1" applyNumberFormat="1" applyFont="1" applyBorder="1"/>
    <xf numFmtId="178" fontId="0" fillId="0" borderId="1" xfId="0" applyBorder="1" applyAlignment="1">
      <alignment horizontal="right"/>
    </xf>
    <xf numFmtId="15" fontId="0" fillId="0" borderId="2" xfId="0" applyNumberFormat="1" applyBorder="1"/>
    <xf numFmtId="10" fontId="0" fillId="0" borderId="3" xfId="1" applyNumberFormat="1" applyFont="1" applyBorder="1"/>
    <xf numFmtId="178" fontId="0" fillId="0" borderId="4" xfId="0" applyBorder="1" applyAlignment="1">
      <alignment horizontal="right"/>
    </xf>
    <xf numFmtId="15" fontId="0" fillId="0" borderId="0" xfId="0" applyNumberFormat="1" applyBorder="1"/>
    <xf numFmtId="178" fontId="0" fillId="0" borderId="6" xfId="0" applyBorder="1" applyAlignment="1">
      <alignment horizontal="right"/>
    </xf>
    <xf numFmtId="15" fontId="0" fillId="0" borderId="7" xfId="0" applyNumberFormat="1" applyBorder="1"/>
    <xf numFmtId="178" fontId="0" fillId="0" borderId="48" xfId="0" applyBorder="1" applyAlignment="1">
      <alignment horizontal="center"/>
    </xf>
    <xf numFmtId="10" fontId="0" fillId="0" borderId="43" xfId="1" applyNumberFormat="1" applyFont="1" applyBorder="1"/>
    <xf numFmtId="10" fontId="0" fillId="0" borderId="44" xfId="1" applyNumberFormat="1" applyFont="1" applyBorder="1"/>
    <xf numFmtId="10" fontId="0" fillId="0" borderId="0" xfId="0" applyNumberFormat="1"/>
    <xf numFmtId="43" fontId="0" fillId="2" borderId="0" xfId="2" applyNumberFormat="1" applyFont="1" applyFill="1"/>
    <xf numFmtId="178" fontId="0" fillId="87" borderId="0" xfId="0" applyFill="1"/>
    <xf numFmtId="178" fontId="0" fillId="0" borderId="0" xfId="0" quotePrefix="1"/>
    <xf numFmtId="43" fontId="0" fillId="0" borderId="0" xfId="2" applyFont="1"/>
    <xf numFmtId="9" fontId="0" fillId="0" borderId="0" xfId="0" applyNumberFormat="1"/>
    <xf numFmtId="14" fontId="0" fillId="0" borderId="0" xfId="0" applyNumberFormat="1"/>
    <xf numFmtId="43" fontId="0" fillId="0" borderId="0" xfId="0" applyNumberFormat="1" applyAlignment="1">
      <alignment horizontal="center"/>
    </xf>
    <xf numFmtId="17" fontId="0" fillId="0" borderId="0" xfId="0" quotePrefix="1" applyNumberFormat="1"/>
    <xf numFmtId="178" fontId="1" fillId="0" borderId="0" xfId="0" applyFont="1" applyAlignment="1">
      <alignment horizontal="center"/>
    </xf>
    <xf numFmtId="2" fontId="0" fillId="0" borderId="0" xfId="0" applyNumberFormat="1"/>
    <xf numFmtId="43" fontId="13" fillId="85" borderId="0" xfId="2" applyFont="1" applyFill="1" applyAlignment="1">
      <alignment horizontal="center"/>
    </xf>
    <xf numFmtId="43" fontId="0" fillId="0" borderId="0" xfId="2" applyFont="1" applyAlignment="1">
      <alignment horizontal="center"/>
    </xf>
    <xf numFmtId="178" fontId="96" fillId="0" borderId="0" xfId="0" applyFont="1"/>
    <xf numFmtId="178" fontId="94" fillId="0" borderId="0" xfId="0" applyFont="1" applyAlignment="1">
      <alignment horizontal="center" vertical="center"/>
    </xf>
    <xf numFmtId="178" fontId="95" fillId="0" borderId="0" xfId="0" applyFont="1" applyAlignment="1">
      <alignment vertical="center"/>
    </xf>
    <xf numFmtId="43" fontId="95" fillId="0" borderId="0" xfId="2" applyFont="1" applyAlignment="1">
      <alignment vertical="center"/>
    </xf>
    <xf numFmtId="178" fontId="97" fillId="0" borderId="0" xfId="0" applyFont="1"/>
    <xf numFmtId="9" fontId="0" fillId="0" borderId="0" xfId="1" applyFont="1"/>
    <xf numFmtId="9" fontId="0" fillId="0" borderId="0" xfId="1" applyNumberFormat="1" applyFont="1"/>
    <xf numFmtId="9" fontId="90" fillId="2" borderId="10" xfId="1" applyFont="1" applyFill="1" applyBorder="1" applyAlignment="1">
      <alignment horizontal="center"/>
    </xf>
    <xf numFmtId="9" fontId="90" fillId="2" borderId="9" xfId="1" applyFont="1" applyFill="1" applyBorder="1" applyAlignment="1">
      <alignment horizontal="center"/>
    </xf>
    <xf numFmtId="9" fontId="90" fillId="2" borderId="45" xfId="1" applyFont="1" applyFill="1" applyBorder="1" applyAlignment="1">
      <alignment horizontal="center"/>
    </xf>
    <xf numFmtId="9" fontId="90" fillId="2" borderId="11" xfId="1" applyFont="1" applyFill="1" applyBorder="1" applyAlignment="1">
      <alignment horizontal="center"/>
    </xf>
    <xf numFmtId="9" fontId="90" fillId="84" borderId="10" xfId="1" applyFont="1" applyFill="1" applyBorder="1" applyAlignment="1">
      <alignment horizontal="center"/>
    </xf>
    <xf numFmtId="9" fontId="90" fillId="84" borderId="9" xfId="1" applyFont="1" applyFill="1" applyBorder="1" applyAlignment="1">
      <alignment horizontal="center"/>
    </xf>
    <xf numFmtId="9" fontId="90" fillId="84" borderId="45" xfId="1" applyFont="1" applyFill="1" applyBorder="1" applyAlignment="1">
      <alignment horizontal="center"/>
    </xf>
    <xf numFmtId="9" fontId="90" fillId="84" borderId="11" xfId="1" applyFont="1" applyFill="1" applyBorder="1" applyAlignment="1">
      <alignment horizontal="center"/>
    </xf>
    <xf numFmtId="178" fontId="1" fillId="0" borderId="0" xfId="0" applyFont="1" applyAlignment="1">
      <alignment horizontal="center"/>
    </xf>
    <xf numFmtId="182" fontId="0" fillId="2" borderId="0" xfId="1" applyNumberFormat="1" applyFont="1" applyFill="1"/>
    <xf numFmtId="43" fontId="0" fillId="0" borderId="0" xfId="2" applyFont="1" applyBorder="1"/>
    <xf numFmtId="183" fontId="0" fillId="0" borderId="0" xfId="2" applyNumberFormat="1" applyFont="1" applyBorder="1"/>
    <xf numFmtId="43" fontId="0" fillId="0" borderId="2" xfId="2" applyFont="1" applyBorder="1"/>
    <xf numFmtId="43" fontId="0" fillId="0" borderId="7" xfId="2" applyFont="1" applyBorder="1"/>
    <xf numFmtId="43" fontId="0" fillId="86" borderId="45" xfId="2" applyFont="1" applyFill="1" applyBorder="1"/>
    <xf numFmtId="182" fontId="0" fillId="0" borderId="0" xfId="1" applyNumberFormat="1" applyFont="1"/>
    <xf numFmtId="184" fontId="0" fillId="2" borderId="0" xfId="2" applyNumberFormat="1" applyFont="1" applyFill="1"/>
    <xf numFmtId="178" fontId="1" fillId="0" borderId="0" xfId="0" applyFont="1" applyAlignment="1">
      <alignment horizontal="center"/>
    </xf>
    <xf numFmtId="0" fontId="0" fillId="0" borderId="0" xfId="0" applyNumberFormat="1"/>
    <xf numFmtId="184" fontId="0" fillId="0" borderId="0" xfId="2" applyNumberFormat="1" applyFont="1"/>
    <xf numFmtId="185" fontId="0" fillId="0" borderId="0" xfId="2" applyNumberFormat="1" applyFont="1" applyAlignment="1">
      <alignment horizontal="center"/>
    </xf>
    <xf numFmtId="178" fontId="1" fillId="0" borderId="0" xfId="0" applyFont="1" applyAlignment="1">
      <alignment horizontal="center"/>
    </xf>
    <xf numFmtId="183" fontId="0" fillId="0" borderId="0" xfId="2" applyNumberFormat="1" applyFont="1"/>
    <xf numFmtId="186" fontId="0" fillId="0" borderId="0" xfId="2" applyNumberFormat="1" applyFont="1"/>
    <xf numFmtId="185" fontId="0" fillId="0" borderId="0" xfId="2" applyNumberFormat="1" applyFont="1"/>
    <xf numFmtId="187" fontId="0" fillId="0" borderId="0" xfId="1" applyNumberFormat="1" applyFont="1"/>
    <xf numFmtId="178" fontId="0" fillId="0" borderId="0" xfId="0" applyNumberFormat="1"/>
    <xf numFmtId="178" fontId="0" fillId="0" borderId="0" xfId="0" applyAlignment="1"/>
    <xf numFmtId="43" fontId="0" fillId="0" borderId="0" xfId="2" applyNumberFormat="1" applyFont="1"/>
    <xf numFmtId="178" fontId="1" fillId="0" borderId="0" xfId="0" applyFont="1" applyAlignment="1">
      <alignment horizontal="center"/>
    </xf>
    <xf numFmtId="178" fontId="0" fillId="0" borderId="1" xfId="0" applyBorder="1" applyAlignment="1">
      <alignment horizontal="center"/>
    </xf>
    <xf numFmtId="178" fontId="0" fillId="0" borderId="3" xfId="0" applyBorder="1" applyAlignment="1">
      <alignment horizontal="center"/>
    </xf>
    <xf numFmtId="178" fontId="1" fillId="0" borderId="0" xfId="0" applyFont="1" applyAlignment="1">
      <alignment horizontal="center"/>
    </xf>
    <xf numFmtId="178" fontId="1" fillId="2" borderId="1" xfId="0" applyFont="1" applyFill="1" applyBorder="1" applyAlignment="1">
      <alignment horizontal="center"/>
    </xf>
    <xf numFmtId="178" fontId="1" fillId="2" borderId="2" xfId="0" applyFont="1" applyFill="1" applyBorder="1" applyAlignment="1">
      <alignment horizontal="center"/>
    </xf>
    <xf numFmtId="178" fontId="1" fillId="2" borderId="3" xfId="0" applyFont="1" applyFill="1" applyBorder="1" applyAlignment="1">
      <alignment horizontal="center"/>
    </xf>
    <xf numFmtId="178" fontId="1" fillId="84" borderId="1" xfId="0" applyFont="1" applyFill="1" applyBorder="1" applyAlignment="1">
      <alignment horizontal="center"/>
    </xf>
    <xf numFmtId="178" fontId="1" fillId="84" borderId="2" xfId="0" applyFont="1" applyFill="1" applyBorder="1" applyAlignment="1">
      <alignment horizontal="center"/>
    </xf>
    <xf numFmtId="178" fontId="1" fillId="84" borderId="3" xfId="0" applyFont="1" applyFill="1" applyBorder="1" applyAlignment="1">
      <alignment horizontal="center"/>
    </xf>
    <xf numFmtId="178" fontId="1" fillId="0" borderId="1" xfId="0" applyFont="1" applyBorder="1" applyAlignment="1">
      <alignment horizontal="center"/>
    </xf>
    <xf numFmtId="178" fontId="1" fillId="0" borderId="2" xfId="0" applyFont="1" applyBorder="1" applyAlignment="1">
      <alignment horizontal="center"/>
    </xf>
    <xf numFmtId="178" fontId="1" fillId="0" borderId="3" xfId="0" applyFont="1" applyBorder="1" applyAlignment="1">
      <alignment horizontal="center"/>
    </xf>
    <xf numFmtId="178" fontId="0" fillId="0" borderId="0" xfId="0" applyAlignment="1">
      <alignment horizontal="center"/>
    </xf>
    <xf numFmtId="179" fontId="0" fillId="0" borderId="0" xfId="2" applyNumberFormat="1" applyFont="1"/>
    <xf numFmtId="15" fontId="1" fillId="0" borderId="0" xfId="0" applyNumberFormat="1" applyFont="1" applyAlignment="1">
      <alignment horizontal="center"/>
    </xf>
    <xf numFmtId="43" fontId="1" fillId="0" borderId="0" xfId="2" applyFont="1" applyAlignment="1">
      <alignment horizontal="center"/>
    </xf>
    <xf numFmtId="15" fontId="0" fillId="0" borderId="0" xfId="2" applyNumberFormat="1" applyFont="1"/>
  </cellXfs>
  <cellStyles count="824">
    <cellStyle name="_Energy Attrib" xfId="39" xr:uid="{00000000-0005-0000-0000-000000000000}"/>
    <cellStyle name="_i. Net Risk" xfId="40" xr:uid="{00000000-0005-0000-0000-000001000000}"/>
    <cellStyle name="_vi. Funding Summary" xfId="41" xr:uid="{00000000-0005-0000-0000-000002000000}"/>
    <cellStyle name="20% - Accent1" xfId="21" builtinId="30" customBuiltin="1"/>
    <cellStyle name="20% - Accent1 2" xfId="42" xr:uid="{00000000-0005-0000-0000-000004000000}"/>
    <cellStyle name="20% - Accent1 2 2" xfId="43" xr:uid="{00000000-0005-0000-0000-000005000000}"/>
    <cellStyle name="20% - Accent1 2 3" xfId="44" xr:uid="{00000000-0005-0000-0000-000006000000}"/>
    <cellStyle name="20% - Accent1 2 3 2" xfId="45" xr:uid="{00000000-0005-0000-0000-000007000000}"/>
    <cellStyle name="20% - Accent1 2 3 3" xfId="46" xr:uid="{00000000-0005-0000-0000-000008000000}"/>
    <cellStyle name="20% - Accent1 2 3 4" xfId="47" xr:uid="{00000000-0005-0000-0000-000009000000}"/>
    <cellStyle name="20% - Accent1 3" xfId="48" xr:uid="{00000000-0005-0000-0000-00000A000000}"/>
    <cellStyle name="20% - Accent2" xfId="24" builtinId="34" customBuiltin="1"/>
    <cellStyle name="20% - Accent2 2" xfId="49" xr:uid="{00000000-0005-0000-0000-00000C000000}"/>
    <cellStyle name="20% - Accent2 2 2" xfId="50" xr:uid="{00000000-0005-0000-0000-00000D000000}"/>
    <cellStyle name="20% - Accent2 2 3" xfId="51" xr:uid="{00000000-0005-0000-0000-00000E000000}"/>
    <cellStyle name="20% - Accent2 2 3 2" xfId="52" xr:uid="{00000000-0005-0000-0000-00000F000000}"/>
    <cellStyle name="20% - Accent2 2 3 3" xfId="53" xr:uid="{00000000-0005-0000-0000-000010000000}"/>
    <cellStyle name="20% - Accent2 2 3 4" xfId="54" xr:uid="{00000000-0005-0000-0000-000011000000}"/>
    <cellStyle name="20% - Accent2 3" xfId="55" xr:uid="{00000000-0005-0000-0000-000012000000}"/>
    <cellStyle name="20% - Accent3" xfId="27" builtinId="38" customBuiltin="1"/>
    <cellStyle name="20% - Accent3 2" xfId="56" xr:uid="{00000000-0005-0000-0000-000014000000}"/>
    <cellStyle name="20% - Accent3 2 2" xfId="57" xr:uid="{00000000-0005-0000-0000-000015000000}"/>
    <cellStyle name="20% - Accent3 2 3" xfId="58" xr:uid="{00000000-0005-0000-0000-000016000000}"/>
    <cellStyle name="20% - Accent3 2 3 2" xfId="59" xr:uid="{00000000-0005-0000-0000-000017000000}"/>
    <cellStyle name="20% - Accent3 2 3 3" xfId="60" xr:uid="{00000000-0005-0000-0000-000018000000}"/>
    <cellStyle name="20% - Accent3 2 3 4" xfId="61" xr:uid="{00000000-0005-0000-0000-000019000000}"/>
    <cellStyle name="20% - Accent3 3" xfId="62" xr:uid="{00000000-0005-0000-0000-00001A000000}"/>
    <cellStyle name="20% - Accent4" xfId="30" builtinId="42" customBuiltin="1"/>
    <cellStyle name="20% - Accent4 2" xfId="63" xr:uid="{00000000-0005-0000-0000-00001C000000}"/>
    <cellStyle name="20% - Accent4 2 2" xfId="64" xr:uid="{00000000-0005-0000-0000-00001D000000}"/>
    <cellStyle name="20% - Accent4 2 3" xfId="65" xr:uid="{00000000-0005-0000-0000-00001E000000}"/>
    <cellStyle name="20% - Accent4 2 3 2" xfId="66" xr:uid="{00000000-0005-0000-0000-00001F000000}"/>
    <cellStyle name="20% - Accent4 2 3 3" xfId="67" xr:uid="{00000000-0005-0000-0000-000020000000}"/>
    <cellStyle name="20% - Accent4 2 3 4" xfId="68" xr:uid="{00000000-0005-0000-0000-000021000000}"/>
    <cellStyle name="20% - Accent4 3" xfId="69" xr:uid="{00000000-0005-0000-0000-000022000000}"/>
    <cellStyle name="20% - Accent5" xfId="33" builtinId="46" customBuiltin="1"/>
    <cellStyle name="20% - Accent5 2" xfId="70" xr:uid="{00000000-0005-0000-0000-000024000000}"/>
    <cellStyle name="20% - Accent5 2 2" xfId="71" xr:uid="{00000000-0005-0000-0000-000025000000}"/>
    <cellStyle name="20% - Accent5 3" xfId="72" xr:uid="{00000000-0005-0000-0000-000026000000}"/>
    <cellStyle name="20% - Accent6" xfId="36" builtinId="50" customBuiltin="1"/>
    <cellStyle name="20% - Accent6 2" xfId="73" xr:uid="{00000000-0005-0000-0000-000028000000}"/>
    <cellStyle name="20% - Accent6 2 2" xfId="74" xr:uid="{00000000-0005-0000-0000-000029000000}"/>
    <cellStyle name="20% - Accent6 3" xfId="75" xr:uid="{00000000-0005-0000-0000-00002A000000}"/>
    <cellStyle name="40% - Accent1" xfId="22" builtinId="31" customBuiltin="1"/>
    <cellStyle name="40% - Accent1 2" xfId="76" xr:uid="{00000000-0005-0000-0000-00002C000000}"/>
    <cellStyle name="40% - Accent1 2 2" xfId="77" xr:uid="{00000000-0005-0000-0000-00002D000000}"/>
    <cellStyle name="40% - Accent1 3" xfId="78" xr:uid="{00000000-0005-0000-0000-00002E000000}"/>
    <cellStyle name="40% - Accent2" xfId="25" builtinId="35" customBuiltin="1"/>
    <cellStyle name="40% - Accent2 2" xfId="79" xr:uid="{00000000-0005-0000-0000-000030000000}"/>
    <cellStyle name="40% - Accent2 2 2" xfId="80" xr:uid="{00000000-0005-0000-0000-000031000000}"/>
    <cellStyle name="40% - Accent2 3" xfId="81" xr:uid="{00000000-0005-0000-0000-000032000000}"/>
    <cellStyle name="40% - Accent3" xfId="28" builtinId="39" customBuiltin="1"/>
    <cellStyle name="40% - Accent3 2" xfId="82" xr:uid="{00000000-0005-0000-0000-000034000000}"/>
    <cellStyle name="40% - Accent3 2 2" xfId="83" xr:uid="{00000000-0005-0000-0000-000035000000}"/>
    <cellStyle name="40% - Accent3 2 3" xfId="84" xr:uid="{00000000-0005-0000-0000-000036000000}"/>
    <cellStyle name="40% - Accent3 2 3 2" xfId="85" xr:uid="{00000000-0005-0000-0000-000037000000}"/>
    <cellStyle name="40% - Accent3 2 3 3" xfId="86" xr:uid="{00000000-0005-0000-0000-000038000000}"/>
    <cellStyle name="40% - Accent3 2 3 4" xfId="87" xr:uid="{00000000-0005-0000-0000-000039000000}"/>
    <cellStyle name="40% - Accent3 3" xfId="88" xr:uid="{00000000-0005-0000-0000-00003A000000}"/>
    <cellStyle name="40% - Accent4" xfId="31" builtinId="43" customBuiltin="1"/>
    <cellStyle name="40% - Accent4 2" xfId="89" xr:uid="{00000000-0005-0000-0000-00003C000000}"/>
    <cellStyle name="40% - Accent4 2 2" xfId="90" xr:uid="{00000000-0005-0000-0000-00003D000000}"/>
    <cellStyle name="40% - Accent4 3" xfId="91" xr:uid="{00000000-0005-0000-0000-00003E000000}"/>
    <cellStyle name="40% - Accent5" xfId="34" builtinId="47" customBuiltin="1"/>
    <cellStyle name="40% - Accent5 2" xfId="92" xr:uid="{00000000-0005-0000-0000-000040000000}"/>
    <cellStyle name="40% - Accent5 2 2" xfId="93" xr:uid="{00000000-0005-0000-0000-000041000000}"/>
    <cellStyle name="40% - Accent5 3" xfId="94" xr:uid="{00000000-0005-0000-0000-000042000000}"/>
    <cellStyle name="40% - Accent6" xfId="37" builtinId="51" customBuiltin="1"/>
    <cellStyle name="40% - Accent6 2" xfId="95" xr:uid="{00000000-0005-0000-0000-000044000000}"/>
    <cellStyle name="40% - Accent6 2 2" xfId="96" xr:uid="{00000000-0005-0000-0000-000045000000}"/>
    <cellStyle name="40% - Accent6 3" xfId="97" xr:uid="{00000000-0005-0000-0000-000046000000}"/>
    <cellStyle name="60% - Accent1 2" xfId="99" xr:uid="{00000000-0005-0000-0000-000047000000}"/>
    <cellStyle name="60% - Accent1 2 2" xfId="100" xr:uid="{00000000-0005-0000-0000-000048000000}"/>
    <cellStyle name="60% - Accent1 3" xfId="101" xr:uid="{00000000-0005-0000-0000-000049000000}"/>
    <cellStyle name="60% - Accent1 4" xfId="98" xr:uid="{00000000-0005-0000-0000-00004A000000}"/>
    <cellStyle name="60% - Accent2 2" xfId="103" xr:uid="{00000000-0005-0000-0000-00004B000000}"/>
    <cellStyle name="60% - Accent2 2 2" xfId="104" xr:uid="{00000000-0005-0000-0000-00004C000000}"/>
    <cellStyle name="60% - Accent2 3" xfId="105" xr:uid="{00000000-0005-0000-0000-00004D000000}"/>
    <cellStyle name="60% - Accent2 4" xfId="102" xr:uid="{00000000-0005-0000-0000-00004E000000}"/>
    <cellStyle name="60% - Accent3 2" xfId="107" xr:uid="{00000000-0005-0000-0000-00004F000000}"/>
    <cellStyle name="60% - Accent3 2 2" xfId="108" xr:uid="{00000000-0005-0000-0000-000050000000}"/>
    <cellStyle name="60% - Accent3 2 3" xfId="109" xr:uid="{00000000-0005-0000-0000-000051000000}"/>
    <cellStyle name="60% - Accent3 2 3 2" xfId="110" xr:uid="{00000000-0005-0000-0000-000052000000}"/>
    <cellStyle name="60% - Accent3 2 3 3" xfId="111" xr:uid="{00000000-0005-0000-0000-000053000000}"/>
    <cellStyle name="60% - Accent3 2 3 4" xfId="112" xr:uid="{00000000-0005-0000-0000-000054000000}"/>
    <cellStyle name="60% - Accent3 3" xfId="113" xr:uid="{00000000-0005-0000-0000-000055000000}"/>
    <cellStyle name="60% - Accent3 4" xfId="106" xr:uid="{00000000-0005-0000-0000-000056000000}"/>
    <cellStyle name="60% - Accent4 2" xfId="115" xr:uid="{00000000-0005-0000-0000-000057000000}"/>
    <cellStyle name="60% - Accent4 2 2" xfId="116" xr:uid="{00000000-0005-0000-0000-000058000000}"/>
    <cellStyle name="60% - Accent4 2 3" xfId="117" xr:uid="{00000000-0005-0000-0000-000059000000}"/>
    <cellStyle name="60% - Accent4 2 3 2" xfId="118" xr:uid="{00000000-0005-0000-0000-00005A000000}"/>
    <cellStyle name="60% - Accent4 2 3 3" xfId="119" xr:uid="{00000000-0005-0000-0000-00005B000000}"/>
    <cellStyle name="60% - Accent4 2 3 4" xfId="120" xr:uid="{00000000-0005-0000-0000-00005C000000}"/>
    <cellStyle name="60% - Accent4 3" xfId="121" xr:uid="{00000000-0005-0000-0000-00005D000000}"/>
    <cellStyle name="60% - Accent4 4" xfId="114" xr:uid="{00000000-0005-0000-0000-00005E000000}"/>
    <cellStyle name="60% - Accent5 2" xfId="123" xr:uid="{00000000-0005-0000-0000-00005F000000}"/>
    <cellStyle name="60% - Accent5 2 2" xfId="124" xr:uid="{00000000-0005-0000-0000-000060000000}"/>
    <cellStyle name="60% - Accent5 3" xfId="125" xr:uid="{00000000-0005-0000-0000-000061000000}"/>
    <cellStyle name="60% - Accent5 4" xfId="122" xr:uid="{00000000-0005-0000-0000-000062000000}"/>
    <cellStyle name="60% - Accent6 2" xfId="127" xr:uid="{00000000-0005-0000-0000-000063000000}"/>
    <cellStyle name="60% - Accent6 2 2" xfId="128" xr:uid="{00000000-0005-0000-0000-000064000000}"/>
    <cellStyle name="60% - Accent6 2 3" xfId="129" xr:uid="{00000000-0005-0000-0000-000065000000}"/>
    <cellStyle name="60% - Accent6 2 3 2" xfId="130" xr:uid="{00000000-0005-0000-0000-000066000000}"/>
    <cellStyle name="60% - Accent6 2 3 3" xfId="131" xr:uid="{00000000-0005-0000-0000-000067000000}"/>
    <cellStyle name="60% - Accent6 2 3 4" xfId="132" xr:uid="{00000000-0005-0000-0000-000068000000}"/>
    <cellStyle name="60% - Accent6 3" xfId="133" xr:uid="{00000000-0005-0000-0000-000069000000}"/>
    <cellStyle name="60% - Accent6 4" xfId="126" xr:uid="{00000000-0005-0000-0000-00006A000000}"/>
    <cellStyle name="Accent1" xfId="20" builtinId="29" customBuiltin="1"/>
    <cellStyle name="Accent1 2" xfId="134" xr:uid="{00000000-0005-0000-0000-00006C000000}"/>
    <cellStyle name="Accent1 2 2" xfId="135" xr:uid="{00000000-0005-0000-0000-00006D000000}"/>
    <cellStyle name="Accent1 3" xfId="136" xr:uid="{00000000-0005-0000-0000-00006E000000}"/>
    <cellStyle name="Accent2" xfId="23" builtinId="33" customBuiltin="1"/>
    <cellStyle name="Accent2 2" xfId="137" xr:uid="{00000000-0005-0000-0000-000070000000}"/>
    <cellStyle name="Accent2 2 2" xfId="138" xr:uid="{00000000-0005-0000-0000-000071000000}"/>
    <cellStyle name="Accent2 3" xfId="139" xr:uid="{00000000-0005-0000-0000-000072000000}"/>
    <cellStyle name="Accent3" xfId="26" builtinId="37" customBuiltin="1"/>
    <cellStyle name="Accent3 2" xfId="140" xr:uid="{00000000-0005-0000-0000-000074000000}"/>
    <cellStyle name="Accent3 2 2" xfId="141" xr:uid="{00000000-0005-0000-0000-000075000000}"/>
    <cellStyle name="Accent3 3" xfId="142" xr:uid="{00000000-0005-0000-0000-000076000000}"/>
    <cellStyle name="Accent4" xfId="29" builtinId="41" customBuiltin="1"/>
    <cellStyle name="Accent4 2" xfId="143" xr:uid="{00000000-0005-0000-0000-000078000000}"/>
    <cellStyle name="Accent4 2 2" xfId="144" xr:uid="{00000000-0005-0000-0000-000079000000}"/>
    <cellStyle name="Accent4 3" xfId="145" xr:uid="{00000000-0005-0000-0000-00007A000000}"/>
    <cellStyle name="Accent5" xfId="32" builtinId="45" customBuiltin="1"/>
    <cellStyle name="Accent5 2" xfId="146" xr:uid="{00000000-0005-0000-0000-00007C000000}"/>
    <cellStyle name="Accent5 2 2" xfId="147" xr:uid="{00000000-0005-0000-0000-00007D000000}"/>
    <cellStyle name="Accent5 3" xfId="148" xr:uid="{00000000-0005-0000-0000-00007E000000}"/>
    <cellStyle name="Accent6" xfId="35" builtinId="49" customBuiltin="1"/>
    <cellStyle name="Accent6 2" xfId="149" xr:uid="{00000000-0005-0000-0000-000080000000}"/>
    <cellStyle name="Accent6 2 2" xfId="150" xr:uid="{00000000-0005-0000-0000-000081000000}"/>
    <cellStyle name="Accent6 3" xfId="151" xr:uid="{00000000-0005-0000-0000-000082000000}"/>
    <cellStyle name="args.style" xfId="152" xr:uid="{00000000-0005-0000-0000-000083000000}"/>
    <cellStyle name="back" xfId="153" xr:uid="{00000000-0005-0000-0000-000084000000}"/>
    <cellStyle name="Bad" xfId="12" builtinId="27" customBuiltin="1"/>
    <cellStyle name="Bad 2" xfId="154" xr:uid="{00000000-0005-0000-0000-000086000000}"/>
    <cellStyle name="Bad 2 2" xfId="155" xr:uid="{00000000-0005-0000-0000-000087000000}"/>
    <cellStyle name="Bad 3" xfId="156" xr:uid="{00000000-0005-0000-0000-000088000000}"/>
    <cellStyle name="blp_column_header" xfId="157" xr:uid="{00000000-0005-0000-0000-000089000000}"/>
    <cellStyle name="Box" xfId="158" xr:uid="{00000000-0005-0000-0000-00008A000000}"/>
    <cellStyle name="Calculation" xfId="14" builtinId="22" customBuiltin="1"/>
    <cellStyle name="Calculation 2" xfId="159" xr:uid="{00000000-0005-0000-0000-00008C000000}"/>
    <cellStyle name="Calculation 2 2" xfId="160" xr:uid="{00000000-0005-0000-0000-00008D000000}"/>
    <cellStyle name="Calculation 3" xfId="161" xr:uid="{00000000-0005-0000-0000-00008E000000}"/>
    <cellStyle name="Check Cell" xfId="16" builtinId="23" customBuiltin="1"/>
    <cellStyle name="Check Cell 2" xfId="162" xr:uid="{00000000-0005-0000-0000-000090000000}"/>
    <cellStyle name="Check Cell 2 2" xfId="163" xr:uid="{00000000-0005-0000-0000-000091000000}"/>
    <cellStyle name="Check Cell 3" xfId="164" xr:uid="{00000000-0005-0000-0000-000092000000}"/>
    <cellStyle name="Comma" xfId="2" builtinId="3"/>
    <cellStyle name="Comma 10" xfId="166" xr:uid="{00000000-0005-0000-0000-000094000000}"/>
    <cellStyle name="Comma 10 2" xfId="3" xr:uid="{00000000-0005-0000-0000-000095000000}"/>
    <cellStyle name="Comma 10 2 2" xfId="167" xr:uid="{00000000-0005-0000-0000-000096000000}"/>
    <cellStyle name="Comma 10 2 3" xfId="4" xr:uid="{00000000-0005-0000-0000-000097000000}"/>
    <cellStyle name="Comma 10 3" xfId="168" xr:uid="{00000000-0005-0000-0000-000098000000}"/>
    <cellStyle name="Comma 10 4" xfId="169" xr:uid="{00000000-0005-0000-0000-000099000000}"/>
    <cellStyle name="Comma 11" xfId="170" xr:uid="{00000000-0005-0000-0000-00009A000000}"/>
    <cellStyle name="Comma 11 2" xfId="171" xr:uid="{00000000-0005-0000-0000-00009B000000}"/>
    <cellStyle name="Comma 11 3" xfId="172" xr:uid="{00000000-0005-0000-0000-00009C000000}"/>
    <cellStyle name="Comma 12" xfId="173" xr:uid="{00000000-0005-0000-0000-00009D000000}"/>
    <cellStyle name="Comma 12 2" xfId="174" xr:uid="{00000000-0005-0000-0000-00009E000000}"/>
    <cellStyle name="Comma 12 2 2" xfId="175" xr:uid="{00000000-0005-0000-0000-00009F000000}"/>
    <cellStyle name="Comma 12 2 3" xfId="176" xr:uid="{00000000-0005-0000-0000-0000A0000000}"/>
    <cellStyle name="Comma 13" xfId="177" xr:uid="{00000000-0005-0000-0000-0000A1000000}"/>
    <cellStyle name="Comma 13 2" xfId="178" xr:uid="{00000000-0005-0000-0000-0000A2000000}"/>
    <cellStyle name="Comma 13 3" xfId="179" xr:uid="{00000000-0005-0000-0000-0000A3000000}"/>
    <cellStyle name="Comma 13 3 2" xfId="808" xr:uid="{00000000-0005-0000-0000-000034030000}"/>
    <cellStyle name="Comma 13 4" xfId="180" xr:uid="{00000000-0005-0000-0000-0000A4000000}"/>
    <cellStyle name="Comma 13 5" xfId="807" xr:uid="{00000000-0005-0000-0000-000033030000}"/>
    <cellStyle name="Comma 14" xfId="181" xr:uid="{00000000-0005-0000-0000-0000A5000000}"/>
    <cellStyle name="Comma 14 2" xfId="182" xr:uid="{00000000-0005-0000-0000-0000A6000000}"/>
    <cellStyle name="Comma 14 2 2" xfId="183" xr:uid="{00000000-0005-0000-0000-0000A7000000}"/>
    <cellStyle name="Comma 14 2 3" xfId="184" xr:uid="{00000000-0005-0000-0000-0000A8000000}"/>
    <cellStyle name="Comma 14 3" xfId="185" xr:uid="{00000000-0005-0000-0000-0000A9000000}"/>
    <cellStyle name="Comma 15" xfId="186" xr:uid="{00000000-0005-0000-0000-0000AA000000}"/>
    <cellStyle name="Comma 15 2" xfId="187" xr:uid="{00000000-0005-0000-0000-0000AB000000}"/>
    <cellStyle name="Comma 16" xfId="188" xr:uid="{00000000-0005-0000-0000-0000AC000000}"/>
    <cellStyle name="Comma 16 2" xfId="189" xr:uid="{00000000-0005-0000-0000-0000AD000000}"/>
    <cellStyle name="Comma 16 3" xfId="190" xr:uid="{00000000-0005-0000-0000-0000AE000000}"/>
    <cellStyle name="Comma 17" xfId="191" xr:uid="{00000000-0005-0000-0000-0000AF000000}"/>
    <cellStyle name="Comma 17 2" xfId="192" xr:uid="{00000000-0005-0000-0000-0000B0000000}"/>
    <cellStyle name="Comma 17 3" xfId="193" xr:uid="{00000000-0005-0000-0000-0000B1000000}"/>
    <cellStyle name="Comma 18" xfId="194" xr:uid="{00000000-0005-0000-0000-0000B2000000}"/>
    <cellStyle name="Comma 18 2" xfId="195" xr:uid="{00000000-0005-0000-0000-0000B3000000}"/>
    <cellStyle name="Comma 18 3" xfId="196" xr:uid="{00000000-0005-0000-0000-0000B4000000}"/>
    <cellStyle name="Comma 19" xfId="197" xr:uid="{00000000-0005-0000-0000-0000B5000000}"/>
    <cellStyle name="Comma 19 2" xfId="198" xr:uid="{00000000-0005-0000-0000-0000B6000000}"/>
    <cellStyle name="Comma 2" xfId="199" xr:uid="{00000000-0005-0000-0000-0000B7000000}"/>
    <cellStyle name="Comma 2 2" xfId="200" xr:uid="{00000000-0005-0000-0000-0000B8000000}"/>
    <cellStyle name="Comma 2 2 2" xfId="201" xr:uid="{00000000-0005-0000-0000-0000B9000000}"/>
    <cellStyle name="Comma 2 2 3" xfId="202" xr:uid="{00000000-0005-0000-0000-0000BA000000}"/>
    <cellStyle name="Comma 2 2 3 2" xfId="809" xr:uid="{00000000-0005-0000-0000-000035030000}"/>
    <cellStyle name="Comma 2 3" xfId="203" xr:uid="{00000000-0005-0000-0000-0000BB000000}"/>
    <cellStyle name="Comma 2 3 2" xfId="204" xr:uid="{00000000-0005-0000-0000-0000BC000000}"/>
    <cellStyle name="Comma 2 3 3" xfId="205" xr:uid="{00000000-0005-0000-0000-0000BD000000}"/>
    <cellStyle name="Comma 2 3 3 2" xfId="810" xr:uid="{00000000-0005-0000-0000-000036030000}"/>
    <cellStyle name="Comma 2 4" xfId="206" xr:uid="{00000000-0005-0000-0000-0000BE000000}"/>
    <cellStyle name="Comma 2 4 2" xfId="207" xr:uid="{00000000-0005-0000-0000-0000BF000000}"/>
    <cellStyle name="Comma 2 5" xfId="208" xr:uid="{00000000-0005-0000-0000-0000C0000000}"/>
    <cellStyle name="Comma 2 6" xfId="209" xr:uid="{00000000-0005-0000-0000-0000C1000000}"/>
    <cellStyle name="Comma 2 6 2" xfId="210" xr:uid="{00000000-0005-0000-0000-0000C2000000}"/>
    <cellStyle name="Comma 2 6 3" xfId="211" xr:uid="{00000000-0005-0000-0000-0000C3000000}"/>
    <cellStyle name="Comma 2 6 4" xfId="212" xr:uid="{00000000-0005-0000-0000-0000C4000000}"/>
    <cellStyle name="Comma 2 7" xfId="213" xr:uid="{00000000-0005-0000-0000-0000C5000000}"/>
    <cellStyle name="Comma 2 7 2" xfId="214" xr:uid="{00000000-0005-0000-0000-0000C6000000}"/>
    <cellStyle name="Comma 2 7 3" xfId="215" xr:uid="{00000000-0005-0000-0000-0000C7000000}"/>
    <cellStyle name="Comma 2 8" xfId="216" xr:uid="{00000000-0005-0000-0000-0000C8000000}"/>
    <cellStyle name="Comma 2 8 2" xfId="811" xr:uid="{00000000-0005-0000-0000-000037030000}"/>
    <cellStyle name="Comma 2 9" xfId="217" xr:uid="{00000000-0005-0000-0000-0000C9000000}"/>
    <cellStyle name="Comma 20" xfId="218" xr:uid="{00000000-0005-0000-0000-0000CA000000}"/>
    <cellStyle name="Comma 20 2" xfId="219" xr:uid="{00000000-0005-0000-0000-0000CB000000}"/>
    <cellStyle name="Comma 21" xfId="220" xr:uid="{00000000-0005-0000-0000-0000CC000000}"/>
    <cellStyle name="Comma 21 2" xfId="221" xr:uid="{00000000-0005-0000-0000-0000CD000000}"/>
    <cellStyle name="Comma 22" xfId="222" xr:uid="{00000000-0005-0000-0000-0000CE000000}"/>
    <cellStyle name="Comma 22 2" xfId="223" xr:uid="{00000000-0005-0000-0000-0000CF000000}"/>
    <cellStyle name="Comma 23" xfId="224" xr:uid="{00000000-0005-0000-0000-0000D0000000}"/>
    <cellStyle name="Comma 23 2" xfId="225" xr:uid="{00000000-0005-0000-0000-0000D1000000}"/>
    <cellStyle name="Comma 24" xfId="226" xr:uid="{00000000-0005-0000-0000-0000D2000000}"/>
    <cellStyle name="Comma 24 2" xfId="227" xr:uid="{00000000-0005-0000-0000-0000D3000000}"/>
    <cellStyle name="Comma 25" xfId="228" xr:uid="{00000000-0005-0000-0000-0000D4000000}"/>
    <cellStyle name="Comma 25 2" xfId="229" xr:uid="{00000000-0005-0000-0000-0000D5000000}"/>
    <cellStyle name="Comma 26" xfId="230" xr:uid="{00000000-0005-0000-0000-0000D6000000}"/>
    <cellStyle name="Comma 26 2" xfId="231" xr:uid="{00000000-0005-0000-0000-0000D7000000}"/>
    <cellStyle name="Comma 27" xfId="232" xr:uid="{00000000-0005-0000-0000-0000D8000000}"/>
    <cellStyle name="Comma 27 2" xfId="233" xr:uid="{00000000-0005-0000-0000-0000D9000000}"/>
    <cellStyle name="Comma 28" xfId="234" xr:uid="{00000000-0005-0000-0000-0000DA000000}"/>
    <cellStyle name="Comma 28 2" xfId="235" xr:uid="{00000000-0005-0000-0000-0000DB000000}"/>
    <cellStyle name="Comma 29" xfId="236" xr:uid="{00000000-0005-0000-0000-0000DC000000}"/>
    <cellStyle name="Comma 29 2" xfId="237" xr:uid="{00000000-0005-0000-0000-0000DD000000}"/>
    <cellStyle name="Comma 3" xfId="238" xr:uid="{00000000-0005-0000-0000-0000DE000000}"/>
    <cellStyle name="Comma 3 2" xfId="239" xr:uid="{00000000-0005-0000-0000-0000DF000000}"/>
    <cellStyle name="Comma 3 2 2" xfId="240" xr:uid="{00000000-0005-0000-0000-0000E0000000}"/>
    <cellStyle name="Comma 3 3" xfId="241" xr:uid="{00000000-0005-0000-0000-0000E1000000}"/>
    <cellStyle name="Comma 3 3 2" xfId="242" xr:uid="{00000000-0005-0000-0000-0000E2000000}"/>
    <cellStyle name="Comma 3 4" xfId="243" xr:uid="{00000000-0005-0000-0000-0000E3000000}"/>
    <cellStyle name="Comma 3 5" xfId="244" xr:uid="{00000000-0005-0000-0000-0000E4000000}"/>
    <cellStyle name="Comma 3 6" xfId="245" xr:uid="{00000000-0005-0000-0000-0000E5000000}"/>
    <cellStyle name="Comma 3 7" xfId="246" xr:uid="{00000000-0005-0000-0000-0000E6000000}"/>
    <cellStyle name="Comma 3 7 2" xfId="247" xr:uid="{00000000-0005-0000-0000-0000E7000000}"/>
    <cellStyle name="Comma 30" xfId="248" xr:uid="{00000000-0005-0000-0000-0000E8000000}"/>
    <cellStyle name="Comma 30 2" xfId="249" xr:uid="{00000000-0005-0000-0000-0000E9000000}"/>
    <cellStyle name="Comma 31" xfId="250" xr:uid="{00000000-0005-0000-0000-0000EA000000}"/>
    <cellStyle name="Comma 31 2" xfId="251" xr:uid="{00000000-0005-0000-0000-0000EB000000}"/>
    <cellStyle name="Comma 31 3" xfId="252" xr:uid="{00000000-0005-0000-0000-0000EC000000}"/>
    <cellStyle name="Comma 32" xfId="253" xr:uid="{00000000-0005-0000-0000-0000ED000000}"/>
    <cellStyle name="Comma 32 2" xfId="254" xr:uid="{00000000-0005-0000-0000-0000EE000000}"/>
    <cellStyle name="Comma 33" xfId="255" xr:uid="{00000000-0005-0000-0000-0000EF000000}"/>
    <cellStyle name="Comma 33 2" xfId="256" xr:uid="{00000000-0005-0000-0000-0000F0000000}"/>
    <cellStyle name="Comma 33 3" xfId="257" xr:uid="{00000000-0005-0000-0000-0000F1000000}"/>
    <cellStyle name="Comma 34" xfId="258" xr:uid="{00000000-0005-0000-0000-0000F2000000}"/>
    <cellStyle name="Comma 34 2" xfId="259" xr:uid="{00000000-0005-0000-0000-0000F3000000}"/>
    <cellStyle name="Comma 35" xfId="260" xr:uid="{00000000-0005-0000-0000-0000F4000000}"/>
    <cellStyle name="Comma 36" xfId="261" xr:uid="{00000000-0005-0000-0000-0000F5000000}"/>
    <cellStyle name="Comma 36 2" xfId="262" xr:uid="{00000000-0005-0000-0000-0000F6000000}"/>
    <cellStyle name="Comma 37" xfId="165" xr:uid="{00000000-0005-0000-0000-0000F7000000}"/>
    <cellStyle name="Comma 38" xfId="806" xr:uid="{00000000-0005-0000-0000-000032030000}"/>
    <cellStyle name="Comma 39" xfId="822" xr:uid="{00000000-0005-0000-0000-000040030000}"/>
    <cellStyle name="Comma 4" xfId="263" xr:uid="{00000000-0005-0000-0000-0000F8000000}"/>
    <cellStyle name="Comma 4 2" xfId="264" xr:uid="{00000000-0005-0000-0000-0000F9000000}"/>
    <cellStyle name="Comma 4 2 2" xfId="265" xr:uid="{00000000-0005-0000-0000-0000FA000000}"/>
    <cellStyle name="Comma 4 3" xfId="266" xr:uid="{00000000-0005-0000-0000-0000FB000000}"/>
    <cellStyle name="Comma 4 3 2" xfId="267" xr:uid="{00000000-0005-0000-0000-0000FC000000}"/>
    <cellStyle name="Comma 4 4" xfId="268" xr:uid="{00000000-0005-0000-0000-0000FD000000}"/>
    <cellStyle name="Comma 4 5" xfId="269" xr:uid="{00000000-0005-0000-0000-0000FE000000}"/>
    <cellStyle name="Comma 4 6" xfId="270" xr:uid="{00000000-0005-0000-0000-0000FF000000}"/>
    <cellStyle name="Comma 4 6 2" xfId="812" xr:uid="{00000000-0005-0000-0000-000038030000}"/>
    <cellStyle name="Comma 5" xfId="271" xr:uid="{00000000-0005-0000-0000-000000010000}"/>
    <cellStyle name="Comma 5 2" xfId="272" xr:uid="{00000000-0005-0000-0000-000001010000}"/>
    <cellStyle name="Comma 5 2 2" xfId="273" xr:uid="{00000000-0005-0000-0000-000002010000}"/>
    <cellStyle name="Comma 5 3" xfId="274" xr:uid="{00000000-0005-0000-0000-000003010000}"/>
    <cellStyle name="Comma 5 4" xfId="275" xr:uid="{00000000-0005-0000-0000-000004010000}"/>
    <cellStyle name="Comma 5 5" xfId="276" xr:uid="{00000000-0005-0000-0000-000005010000}"/>
    <cellStyle name="Comma 6" xfId="277" xr:uid="{00000000-0005-0000-0000-000006010000}"/>
    <cellStyle name="Comma 6 2" xfId="278" xr:uid="{00000000-0005-0000-0000-000007010000}"/>
    <cellStyle name="Comma 6 3" xfId="279" xr:uid="{00000000-0005-0000-0000-000008010000}"/>
    <cellStyle name="Comma 6 4" xfId="280" xr:uid="{00000000-0005-0000-0000-000009010000}"/>
    <cellStyle name="Comma 7" xfId="281" xr:uid="{00000000-0005-0000-0000-00000A010000}"/>
    <cellStyle name="Comma 7 2" xfId="282" xr:uid="{00000000-0005-0000-0000-00000B010000}"/>
    <cellStyle name="Comma 8" xfId="283" xr:uid="{00000000-0005-0000-0000-00000C010000}"/>
    <cellStyle name="Comma 8 2" xfId="284" xr:uid="{00000000-0005-0000-0000-00000D010000}"/>
    <cellStyle name="Comma 9" xfId="285" xr:uid="{00000000-0005-0000-0000-00000E010000}"/>
    <cellStyle name="Comma 9 2" xfId="286" xr:uid="{00000000-0005-0000-0000-00000F010000}"/>
    <cellStyle name="Comma0" xfId="287" xr:uid="{00000000-0005-0000-0000-000010010000}"/>
    <cellStyle name="Currency 2" xfId="288" xr:uid="{00000000-0005-0000-0000-000011010000}"/>
    <cellStyle name="Currency 3" xfId="289" xr:uid="{00000000-0005-0000-0000-000012010000}"/>
    <cellStyle name="Currency 4" xfId="290" xr:uid="{00000000-0005-0000-0000-000013010000}"/>
    <cellStyle name="Currency0" xfId="291" xr:uid="{00000000-0005-0000-0000-000014010000}"/>
    <cellStyle name="DATE" xfId="292" xr:uid="{00000000-0005-0000-0000-000015010000}"/>
    <cellStyle name="Date 2" xfId="293" xr:uid="{00000000-0005-0000-0000-000016010000}"/>
    <cellStyle name="Euro" xfId="294" xr:uid="{00000000-0005-0000-0000-000017010000}"/>
    <cellStyle name="Euro 2" xfId="295" xr:uid="{00000000-0005-0000-0000-000018010000}"/>
    <cellStyle name="Euro 2 2" xfId="296" xr:uid="{00000000-0005-0000-0000-000019010000}"/>
    <cellStyle name="Euro 2 3" xfId="297" xr:uid="{00000000-0005-0000-0000-00001A010000}"/>
    <cellStyle name="Euro 3" xfId="298" xr:uid="{00000000-0005-0000-0000-00001B010000}"/>
    <cellStyle name="Euro 3 2" xfId="299" xr:uid="{00000000-0005-0000-0000-00001C010000}"/>
    <cellStyle name="Euro 4" xfId="300" xr:uid="{00000000-0005-0000-0000-00001D010000}"/>
    <cellStyle name="Euro 4 2" xfId="301" xr:uid="{00000000-0005-0000-0000-00001E010000}"/>
    <cellStyle name="Euro 5" xfId="302" xr:uid="{00000000-0005-0000-0000-00001F010000}"/>
    <cellStyle name="Euro 5 2" xfId="303" xr:uid="{00000000-0005-0000-0000-000020010000}"/>
    <cellStyle name="Euro 6" xfId="304" xr:uid="{00000000-0005-0000-0000-000021010000}"/>
    <cellStyle name="Euro 7" xfId="305" xr:uid="{00000000-0005-0000-0000-000022010000}"/>
    <cellStyle name="Euro 8" xfId="306" xr:uid="{00000000-0005-0000-0000-000023010000}"/>
    <cellStyle name="Euro 8 2" xfId="307" xr:uid="{00000000-0005-0000-0000-000024010000}"/>
    <cellStyle name="Euro 8 3" xfId="308" xr:uid="{00000000-0005-0000-0000-000025010000}"/>
    <cellStyle name="Euro 9" xfId="309" xr:uid="{00000000-0005-0000-0000-000026010000}"/>
    <cellStyle name="Explanatory Text" xfId="18" builtinId="53" customBuiltin="1"/>
    <cellStyle name="Explanatory Text 2" xfId="310" xr:uid="{00000000-0005-0000-0000-000028010000}"/>
    <cellStyle name="Explanatory Text 2 2" xfId="311" xr:uid="{00000000-0005-0000-0000-000029010000}"/>
    <cellStyle name="Explanatory Text 3" xfId="312" xr:uid="{00000000-0005-0000-0000-00002A010000}"/>
    <cellStyle name="Fixed" xfId="313" xr:uid="{00000000-0005-0000-0000-00002B010000}"/>
    <cellStyle name="Good" xfId="11" builtinId="26" customBuiltin="1"/>
    <cellStyle name="Good 2" xfId="314" xr:uid="{00000000-0005-0000-0000-00002D010000}"/>
    <cellStyle name="Good 2 2" xfId="315" xr:uid="{00000000-0005-0000-0000-00002E010000}"/>
    <cellStyle name="Good 3" xfId="316" xr:uid="{00000000-0005-0000-0000-00002F010000}"/>
    <cellStyle name="H1" xfId="317" xr:uid="{00000000-0005-0000-0000-000030010000}"/>
    <cellStyle name="H2" xfId="318" xr:uid="{00000000-0005-0000-0000-000031010000}"/>
    <cellStyle name="H3" xfId="319" xr:uid="{00000000-0005-0000-0000-000032010000}"/>
    <cellStyle name="H4" xfId="320" xr:uid="{00000000-0005-0000-0000-000033010000}"/>
    <cellStyle name="H4Bold" xfId="321" xr:uid="{00000000-0005-0000-0000-000034010000}"/>
    <cellStyle name="Header1" xfId="322" xr:uid="{00000000-0005-0000-0000-000035010000}"/>
    <cellStyle name="Header2" xfId="323" xr:uid="{00000000-0005-0000-0000-000036010000}"/>
    <cellStyle name="Heading 1" xfId="7" builtinId="16" customBuiltin="1"/>
    <cellStyle name="Heading 1 2" xfId="324" xr:uid="{00000000-0005-0000-0000-000038010000}"/>
    <cellStyle name="Heading 1 2 2" xfId="325" xr:uid="{00000000-0005-0000-0000-000039010000}"/>
    <cellStyle name="Heading 1 3" xfId="326" xr:uid="{00000000-0005-0000-0000-00003A010000}"/>
    <cellStyle name="Heading 1 3 2" xfId="327" xr:uid="{00000000-0005-0000-0000-00003B010000}"/>
    <cellStyle name="Heading 2" xfId="8" builtinId="17" customBuiltin="1"/>
    <cellStyle name="Heading 2 2" xfId="328" xr:uid="{00000000-0005-0000-0000-00003D010000}"/>
    <cellStyle name="Heading 2 2 2" xfId="329" xr:uid="{00000000-0005-0000-0000-00003E010000}"/>
    <cellStyle name="Heading 2 3" xfId="330" xr:uid="{00000000-0005-0000-0000-00003F010000}"/>
    <cellStyle name="Heading 2 3 2" xfId="331" xr:uid="{00000000-0005-0000-0000-000040010000}"/>
    <cellStyle name="Heading 3" xfId="9" builtinId="18" customBuiltin="1"/>
    <cellStyle name="Heading 3 2" xfId="332" xr:uid="{00000000-0005-0000-0000-000042010000}"/>
    <cellStyle name="Heading 3 2 2" xfId="333" xr:uid="{00000000-0005-0000-0000-000043010000}"/>
    <cellStyle name="Heading 3 3" xfId="334" xr:uid="{00000000-0005-0000-0000-000044010000}"/>
    <cellStyle name="Heading 4" xfId="10" builtinId="19" customBuiltin="1"/>
    <cellStyle name="Heading 4 2" xfId="335" xr:uid="{00000000-0005-0000-0000-000046010000}"/>
    <cellStyle name="Heading 4 2 2" xfId="336" xr:uid="{00000000-0005-0000-0000-000047010000}"/>
    <cellStyle name="Heading 4 3" xfId="337" xr:uid="{00000000-0005-0000-0000-000048010000}"/>
    <cellStyle name="Hyperlink 2" xfId="338" xr:uid="{00000000-0005-0000-0000-000049010000}"/>
    <cellStyle name="Hyperlink 2 2" xfId="339" xr:uid="{00000000-0005-0000-0000-00004A010000}"/>
    <cellStyle name="Hyperlink 2 3" xfId="340" xr:uid="{00000000-0005-0000-0000-00004B010000}"/>
    <cellStyle name="Hyperlink 2 3 2" xfId="341" xr:uid="{00000000-0005-0000-0000-00004C010000}"/>
    <cellStyle name="Hyperlink 2 3 3" xfId="342" xr:uid="{00000000-0005-0000-0000-00004D010000}"/>
    <cellStyle name="Hyperlink 2 4" xfId="343" xr:uid="{00000000-0005-0000-0000-00004E010000}"/>
    <cellStyle name="Hyperlink 3" xfId="344" xr:uid="{00000000-0005-0000-0000-00004F010000}"/>
    <cellStyle name="InfoDataColumn" xfId="345" xr:uid="{00000000-0005-0000-0000-000050010000}"/>
    <cellStyle name="InfoDataRow" xfId="346" xr:uid="{00000000-0005-0000-0000-000051010000}"/>
    <cellStyle name="InfoLabelColumn" xfId="347" xr:uid="{00000000-0005-0000-0000-000052010000}"/>
    <cellStyle name="InfoLabelRow" xfId="348" xr:uid="{00000000-0005-0000-0000-000053010000}"/>
    <cellStyle name="InfolDataColumn" xfId="349" xr:uid="{00000000-0005-0000-0000-000054010000}"/>
    <cellStyle name="Input" xfId="819" builtinId="20" customBuiltin="1"/>
    <cellStyle name="Input 2" xfId="351" xr:uid="{00000000-0005-0000-0000-000055010000}"/>
    <cellStyle name="input 2 10" xfId="352" xr:uid="{00000000-0005-0000-0000-000056010000}"/>
    <cellStyle name="Input 2 2" xfId="353" xr:uid="{00000000-0005-0000-0000-000057010000}"/>
    <cellStyle name="Input 2 3" xfId="354" xr:uid="{00000000-0005-0000-0000-000058010000}"/>
    <cellStyle name="input 2 4" xfId="355" xr:uid="{00000000-0005-0000-0000-000059010000}"/>
    <cellStyle name="input 2 5" xfId="356" xr:uid="{00000000-0005-0000-0000-00005A010000}"/>
    <cellStyle name="input 2 6" xfId="357" xr:uid="{00000000-0005-0000-0000-00005B010000}"/>
    <cellStyle name="input 2 7" xfId="358" xr:uid="{00000000-0005-0000-0000-00005C010000}"/>
    <cellStyle name="input 2 8" xfId="359" xr:uid="{00000000-0005-0000-0000-00005D010000}"/>
    <cellStyle name="input 2 9" xfId="360" xr:uid="{00000000-0005-0000-0000-00005E010000}"/>
    <cellStyle name="Input 3" xfId="361" xr:uid="{00000000-0005-0000-0000-00005F010000}"/>
    <cellStyle name="input 4" xfId="362" xr:uid="{00000000-0005-0000-0000-000060010000}"/>
    <cellStyle name="input 5" xfId="350" xr:uid="{00000000-0005-0000-0000-000061010000}"/>
    <cellStyle name="input 6" xfId="814" xr:uid="{00000000-0005-0000-0000-00003A030000}"/>
    <cellStyle name="input 7" xfId="815" xr:uid="{00000000-0005-0000-0000-00003F030000}"/>
    <cellStyle name="input 8" xfId="813" xr:uid="{00000000-0005-0000-0000-000041030000}"/>
    <cellStyle name="Input Cells" xfId="363" xr:uid="{00000000-0005-0000-0000-000062010000}"/>
    <cellStyle name="InputA" xfId="364" xr:uid="{00000000-0005-0000-0000-000063010000}"/>
    <cellStyle name="InputDataColumn" xfId="365" xr:uid="{00000000-0005-0000-0000-000064010000}"/>
    <cellStyle name="InputDataRow" xfId="366" xr:uid="{00000000-0005-0000-0000-000065010000}"/>
    <cellStyle name="InputLabelColumn" xfId="367" xr:uid="{00000000-0005-0000-0000-000066010000}"/>
    <cellStyle name="InputLabelRow" xfId="368" xr:uid="{00000000-0005-0000-0000-000067010000}"/>
    <cellStyle name="IntermediateDataColumn" xfId="369" xr:uid="{00000000-0005-0000-0000-000068010000}"/>
    <cellStyle name="IntermediateLabelColumn" xfId="370" xr:uid="{00000000-0005-0000-0000-000069010000}"/>
    <cellStyle name="InvalidCell" xfId="371" xr:uid="{00000000-0005-0000-0000-00006A010000}"/>
    <cellStyle name="Linked Cell" xfId="15" builtinId="24" customBuiltin="1"/>
    <cellStyle name="Linked Cell 2" xfId="372" xr:uid="{00000000-0005-0000-0000-00006C010000}"/>
    <cellStyle name="Linked Cell 2 2" xfId="373" xr:uid="{00000000-0005-0000-0000-00006D010000}"/>
    <cellStyle name="Linked Cell 3" xfId="374" xr:uid="{00000000-0005-0000-0000-00006E010000}"/>
    <cellStyle name="Milliers [0]_Open&amp;Close" xfId="375" xr:uid="{00000000-0005-0000-0000-00006F010000}"/>
    <cellStyle name="Milliers_Open&amp;Close" xfId="376" xr:uid="{00000000-0005-0000-0000-000070010000}"/>
    <cellStyle name="Monétaire [0]_Open&amp;Close" xfId="377" xr:uid="{00000000-0005-0000-0000-000071010000}"/>
    <cellStyle name="Monétaire_Open&amp;Close" xfId="378" xr:uid="{00000000-0005-0000-0000-000072010000}"/>
    <cellStyle name="Neutral 2" xfId="380" xr:uid="{00000000-0005-0000-0000-000073010000}"/>
    <cellStyle name="Neutral 2 2" xfId="381" xr:uid="{00000000-0005-0000-0000-000074010000}"/>
    <cellStyle name="Neutral 3" xfId="382" xr:uid="{00000000-0005-0000-0000-000075010000}"/>
    <cellStyle name="Neutral 4" xfId="379" xr:uid="{00000000-0005-0000-0000-000076010000}"/>
    <cellStyle name="NewSheet" xfId="383" xr:uid="{00000000-0005-0000-0000-000077010000}"/>
    <cellStyle name="noninput" xfId="384" xr:uid="{00000000-0005-0000-0000-000078010000}"/>
    <cellStyle name="noninput 2" xfId="385" xr:uid="{00000000-0005-0000-0000-000079010000}"/>
    <cellStyle name="noninput 3" xfId="386" xr:uid="{00000000-0005-0000-0000-00007A010000}"/>
    <cellStyle name="noninput 4" xfId="387" xr:uid="{00000000-0005-0000-0000-00007B010000}"/>
    <cellStyle name="Normal" xfId="0" builtinId="0"/>
    <cellStyle name="Normal - Style1" xfId="388" xr:uid="{00000000-0005-0000-0000-00007D010000}"/>
    <cellStyle name="Normal 10" xfId="389" xr:uid="{00000000-0005-0000-0000-00007E010000}"/>
    <cellStyle name="Normal 100" xfId="390" xr:uid="{00000000-0005-0000-0000-00007F010000}"/>
    <cellStyle name="Normal 101" xfId="391" xr:uid="{00000000-0005-0000-0000-000080010000}"/>
    <cellStyle name="Normal 102" xfId="392" xr:uid="{00000000-0005-0000-0000-000081010000}"/>
    <cellStyle name="Normal 103" xfId="393" xr:uid="{00000000-0005-0000-0000-000082010000}"/>
    <cellStyle name="Normal 104" xfId="394" xr:uid="{00000000-0005-0000-0000-000083010000}"/>
    <cellStyle name="Normal 105" xfId="395" xr:uid="{00000000-0005-0000-0000-000084010000}"/>
    <cellStyle name="Normal 106" xfId="396" xr:uid="{00000000-0005-0000-0000-000085010000}"/>
    <cellStyle name="Normal 107" xfId="397" xr:uid="{00000000-0005-0000-0000-000086010000}"/>
    <cellStyle name="Normal 108" xfId="398" xr:uid="{00000000-0005-0000-0000-000087010000}"/>
    <cellStyle name="Normal 109" xfId="399" xr:uid="{00000000-0005-0000-0000-000088010000}"/>
    <cellStyle name="Normal 11" xfId="400" xr:uid="{00000000-0005-0000-0000-000089010000}"/>
    <cellStyle name="Normal 110" xfId="401" xr:uid="{00000000-0005-0000-0000-00008A010000}"/>
    <cellStyle name="Normal 110 2" xfId="402" xr:uid="{00000000-0005-0000-0000-00008B010000}"/>
    <cellStyle name="Normal 110 3" xfId="403" xr:uid="{00000000-0005-0000-0000-00008C010000}"/>
    <cellStyle name="Normal 111" xfId="404" xr:uid="{00000000-0005-0000-0000-00008D010000}"/>
    <cellStyle name="Normal 111 2" xfId="405" xr:uid="{00000000-0005-0000-0000-00008E010000}"/>
    <cellStyle name="Normal 111 3" xfId="406" xr:uid="{00000000-0005-0000-0000-00008F010000}"/>
    <cellStyle name="Normal 112" xfId="407" xr:uid="{00000000-0005-0000-0000-000090010000}"/>
    <cellStyle name="Normal 113" xfId="408" xr:uid="{00000000-0005-0000-0000-000091010000}"/>
    <cellStyle name="Normal 114" xfId="409" xr:uid="{00000000-0005-0000-0000-000092010000}"/>
    <cellStyle name="Normal 115" xfId="410" xr:uid="{00000000-0005-0000-0000-000093010000}"/>
    <cellStyle name="Normal 116" xfId="411" xr:uid="{00000000-0005-0000-0000-000094010000}"/>
    <cellStyle name="Normal 117" xfId="412" xr:uid="{00000000-0005-0000-0000-000095010000}"/>
    <cellStyle name="Normal 118" xfId="413" xr:uid="{00000000-0005-0000-0000-000096010000}"/>
    <cellStyle name="Normal 119" xfId="414" xr:uid="{00000000-0005-0000-0000-000097010000}"/>
    <cellStyle name="Normal 12" xfId="415" xr:uid="{00000000-0005-0000-0000-000098010000}"/>
    <cellStyle name="Normal 120" xfId="416" xr:uid="{00000000-0005-0000-0000-000099010000}"/>
    <cellStyle name="Normal 121" xfId="417" xr:uid="{00000000-0005-0000-0000-00009A010000}"/>
    <cellStyle name="Normal 122" xfId="418" xr:uid="{00000000-0005-0000-0000-00009B010000}"/>
    <cellStyle name="Normal 123" xfId="38" xr:uid="{00000000-0005-0000-0000-00009C010000}"/>
    <cellStyle name="Normal 124" xfId="805" xr:uid="{00000000-0005-0000-0000-00003C030000}"/>
    <cellStyle name="Normal 125" xfId="817" xr:uid="{00000000-0005-0000-0000-000040030000}"/>
    <cellStyle name="Normal 126" xfId="818" xr:uid="{00000000-0005-0000-0000-000042030000}"/>
    <cellStyle name="Normal 127" xfId="821" xr:uid="{00000000-0005-0000-0000-000041030000}"/>
    <cellStyle name="Normal 13" xfId="419" xr:uid="{00000000-0005-0000-0000-00009D010000}"/>
    <cellStyle name="Normal 14" xfId="420" xr:uid="{00000000-0005-0000-0000-00009E010000}"/>
    <cellStyle name="Normal 15" xfId="421" xr:uid="{00000000-0005-0000-0000-00009F010000}"/>
    <cellStyle name="Normal 16" xfId="422" xr:uid="{00000000-0005-0000-0000-0000A0010000}"/>
    <cellStyle name="Normal 17" xfId="6" xr:uid="{00000000-0005-0000-0000-0000A1010000}"/>
    <cellStyle name="Normal 18" xfId="423" xr:uid="{00000000-0005-0000-0000-0000A2010000}"/>
    <cellStyle name="Normal 19" xfId="424" xr:uid="{00000000-0005-0000-0000-0000A3010000}"/>
    <cellStyle name="Normal 19 2" xfId="425" xr:uid="{00000000-0005-0000-0000-0000A4010000}"/>
    <cellStyle name="Normal 19 3" xfId="426" xr:uid="{00000000-0005-0000-0000-0000A5010000}"/>
    <cellStyle name="Normal 2" xfId="427" xr:uid="{00000000-0005-0000-0000-0000A6010000}"/>
    <cellStyle name="Normal 2 2" xfId="428" xr:uid="{00000000-0005-0000-0000-0000A7010000}"/>
    <cellStyle name="Normal 2 2 2" xfId="429" xr:uid="{00000000-0005-0000-0000-0000A8010000}"/>
    <cellStyle name="Normal 2 2 2 2" xfId="430" xr:uid="{00000000-0005-0000-0000-0000A9010000}"/>
    <cellStyle name="Normal 2 2 3" xfId="431" xr:uid="{00000000-0005-0000-0000-0000AA010000}"/>
    <cellStyle name="Normal 2 2 4" xfId="432" xr:uid="{00000000-0005-0000-0000-0000AB010000}"/>
    <cellStyle name="Normal 2 3" xfId="433" xr:uid="{00000000-0005-0000-0000-0000AC010000}"/>
    <cellStyle name="Normal 2 3 2" xfId="434" xr:uid="{00000000-0005-0000-0000-0000AD010000}"/>
    <cellStyle name="Normal 2 3 3" xfId="435" xr:uid="{00000000-0005-0000-0000-0000AE010000}"/>
    <cellStyle name="Normal 2 4" xfId="436" xr:uid="{00000000-0005-0000-0000-0000AF010000}"/>
    <cellStyle name="Normal 2 4 2" xfId="437" xr:uid="{00000000-0005-0000-0000-0000B0010000}"/>
    <cellStyle name="Normal 2 5" xfId="438" xr:uid="{00000000-0005-0000-0000-0000B1010000}"/>
    <cellStyle name="Normal 2 6" xfId="439" xr:uid="{00000000-0005-0000-0000-0000B2010000}"/>
    <cellStyle name="Normal 2_DATA" xfId="440" xr:uid="{00000000-0005-0000-0000-0000B3010000}"/>
    <cellStyle name="Normal 20" xfId="441" xr:uid="{00000000-0005-0000-0000-0000B4010000}"/>
    <cellStyle name="Normal 20 2" xfId="442" xr:uid="{00000000-0005-0000-0000-0000B5010000}"/>
    <cellStyle name="Normal 20 3" xfId="443" xr:uid="{00000000-0005-0000-0000-0000B6010000}"/>
    <cellStyle name="Normal 21" xfId="5" xr:uid="{00000000-0005-0000-0000-0000B7010000}"/>
    <cellStyle name="Normal 21 2" xfId="444" xr:uid="{00000000-0005-0000-0000-0000B8010000}"/>
    <cellStyle name="Normal 21 2 2" xfId="445" xr:uid="{00000000-0005-0000-0000-0000B9010000}"/>
    <cellStyle name="Normal 21 3" xfId="446" xr:uid="{00000000-0005-0000-0000-0000BA010000}"/>
    <cellStyle name="Normal 21 4" xfId="447" xr:uid="{00000000-0005-0000-0000-0000BB010000}"/>
    <cellStyle name="Normal 21 5" xfId="448" xr:uid="{00000000-0005-0000-0000-0000BC010000}"/>
    <cellStyle name="Normal 22" xfId="449" xr:uid="{00000000-0005-0000-0000-0000BD010000}"/>
    <cellStyle name="Normal 22 2" xfId="450" xr:uid="{00000000-0005-0000-0000-0000BE010000}"/>
    <cellStyle name="Normal 22 2 2" xfId="451" xr:uid="{00000000-0005-0000-0000-0000BF010000}"/>
    <cellStyle name="Normal 22 3" xfId="452" xr:uid="{00000000-0005-0000-0000-0000C0010000}"/>
    <cellStyle name="Normal 22 4" xfId="453" xr:uid="{00000000-0005-0000-0000-0000C1010000}"/>
    <cellStyle name="Normal 22 5" xfId="454" xr:uid="{00000000-0005-0000-0000-0000C2010000}"/>
    <cellStyle name="Normal 23" xfId="455" xr:uid="{00000000-0005-0000-0000-0000C3010000}"/>
    <cellStyle name="Normal 23 2" xfId="456" xr:uid="{00000000-0005-0000-0000-0000C4010000}"/>
    <cellStyle name="Normal 23 2 2" xfId="457" xr:uid="{00000000-0005-0000-0000-0000C5010000}"/>
    <cellStyle name="Normal 23 3" xfId="458" xr:uid="{00000000-0005-0000-0000-0000C6010000}"/>
    <cellStyle name="Normal 24" xfId="459" xr:uid="{00000000-0005-0000-0000-0000C7010000}"/>
    <cellStyle name="Normal 24 2" xfId="460" xr:uid="{00000000-0005-0000-0000-0000C8010000}"/>
    <cellStyle name="Normal 24 2 2" xfId="461" xr:uid="{00000000-0005-0000-0000-0000C9010000}"/>
    <cellStyle name="Normal 24 3" xfId="462" xr:uid="{00000000-0005-0000-0000-0000CA010000}"/>
    <cellStyle name="Normal 25" xfId="463" xr:uid="{00000000-0005-0000-0000-0000CB010000}"/>
    <cellStyle name="Normal 25 2" xfId="464" xr:uid="{00000000-0005-0000-0000-0000CC010000}"/>
    <cellStyle name="Normal 25 3" xfId="465" xr:uid="{00000000-0005-0000-0000-0000CD010000}"/>
    <cellStyle name="Normal 26" xfId="466" xr:uid="{00000000-0005-0000-0000-0000CE010000}"/>
    <cellStyle name="Normal 26 2" xfId="467" xr:uid="{00000000-0005-0000-0000-0000CF010000}"/>
    <cellStyle name="Normal 26 3" xfId="468" xr:uid="{00000000-0005-0000-0000-0000D0010000}"/>
    <cellStyle name="Normal 27" xfId="469" xr:uid="{00000000-0005-0000-0000-0000D1010000}"/>
    <cellStyle name="Normal 27 2" xfId="470" xr:uid="{00000000-0005-0000-0000-0000D2010000}"/>
    <cellStyle name="Normal 27 3" xfId="471" xr:uid="{00000000-0005-0000-0000-0000D3010000}"/>
    <cellStyle name="Normal 28" xfId="472" xr:uid="{00000000-0005-0000-0000-0000D4010000}"/>
    <cellStyle name="Normal 28 2" xfId="473" xr:uid="{00000000-0005-0000-0000-0000D5010000}"/>
    <cellStyle name="Normal 28 3" xfId="474" xr:uid="{00000000-0005-0000-0000-0000D6010000}"/>
    <cellStyle name="Normal 29" xfId="475" xr:uid="{00000000-0005-0000-0000-0000D7010000}"/>
    <cellStyle name="Normal 29 2" xfId="476" xr:uid="{00000000-0005-0000-0000-0000D8010000}"/>
    <cellStyle name="Normal 29 3" xfId="477" xr:uid="{00000000-0005-0000-0000-0000D9010000}"/>
    <cellStyle name="Normal 29 3 2" xfId="478" xr:uid="{00000000-0005-0000-0000-0000DA010000}"/>
    <cellStyle name="Normal 29 3 3" xfId="479" xr:uid="{00000000-0005-0000-0000-0000DB010000}"/>
    <cellStyle name="Normal 3" xfId="480" xr:uid="{00000000-0005-0000-0000-0000DC010000}"/>
    <cellStyle name="Normal 3 2" xfId="481" xr:uid="{00000000-0005-0000-0000-0000DD010000}"/>
    <cellStyle name="Normal 3 2 2" xfId="482" xr:uid="{00000000-0005-0000-0000-0000DE010000}"/>
    <cellStyle name="Normal 3 2 3" xfId="483" xr:uid="{00000000-0005-0000-0000-0000DF010000}"/>
    <cellStyle name="Normal 3 2 4" xfId="484" xr:uid="{00000000-0005-0000-0000-0000E0010000}"/>
    <cellStyle name="Normal 3 3" xfId="485" xr:uid="{00000000-0005-0000-0000-0000E1010000}"/>
    <cellStyle name="Normal 3 4" xfId="486" xr:uid="{00000000-0005-0000-0000-0000E2010000}"/>
    <cellStyle name="Normal 3 5" xfId="487" xr:uid="{00000000-0005-0000-0000-0000E3010000}"/>
    <cellStyle name="Normal 30" xfId="488" xr:uid="{00000000-0005-0000-0000-0000E4010000}"/>
    <cellStyle name="Normal 30 2" xfId="489" xr:uid="{00000000-0005-0000-0000-0000E5010000}"/>
    <cellStyle name="Normal 30 3" xfId="490" xr:uid="{00000000-0005-0000-0000-0000E6010000}"/>
    <cellStyle name="Normal 30 3 2" xfId="491" xr:uid="{00000000-0005-0000-0000-0000E7010000}"/>
    <cellStyle name="Normal 30 3 3" xfId="492" xr:uid="{00000000-0005-0000-0000-0000E8010000}"/>
    <cellStyle name="Normal 31" xfId="493" xr:uid="{00000000-0005-0000-0000-0000E9010000}"/>
    <cellStyle name="Normal 31 2" xfId="494" xr:uid="{00000000-0005-0000-0000-0000EA010000}"/>
    <cellStyle name="Normal 32" xfId="495" xr:uid="{00000000-0005-0000-0000-0000EB010000}"/>
    <cellStyle name="Normal 32 2" xfId="496" xr:uid="{00000000-0005-0000-0000-0000EC010000}"/>
    <cellStyle name="Normal 32 2 2" xfId="497" xr:uid="{00000000-0005-0000-0000-0000ED010000}"/>
    <cellStyle name="Normal 32 2 3" xfId="498" xr:uid="{00000000-0005-0000-0000-0000EE010000}"/>
    <cellStyle name="Normal 33" xfId="499" xr:uid="{00000000-0005-0000-0000-0000EF010000}"/>
    <cellStyle name="Normal 33 2" xfId="500" xr:uid="{00000000-0005-0000-0000-0000F0010000}"/>
    <cellStyle name="Normal 34" xfId="501" xr:uid="{00000000-0005-0000-0000-0000F1010000}"/>
    <cellStyle name="Normal 34 2" xfId="502" xr:uid="{00000000-0005-0000-0000-0000F2010000}"/>
    <cellStyle name="Normal 34 3" xfId="503" xr:uid="{00000000-0005-0000-0000-0000F3010000}"/>
    <cellStyle name="Normal 34 4" xfId="504" xr:uid="{00000000-0005-0000-0000-0000F4010000}"/>
    <cellStyle name="Normal 35" xfId="505" xr:uid="{00000000-0005-0000-0000-0000F5010000}"/>
    <cellStyle name="Normal 35 2" xfId="506" xr:uid="{00000000-0005-0000-0000-0000F6010000}"/>
    <cellStyle name="Normal 35 2 2" xfId="507" xr:uid="{00000000-0005-0000-0000-0000F7010000}"/>
    <cellStyle name="Normal 35 2 3" xfId="508" xr:uid="{00000000-0005-0000-0000-0000F8010000}"/>
    <cellStyle name="Normal 35 3" xfId="509" xr:uid="{00000000-0005-0000-0000-0000F9010000}"/>
    <cellStyle name="Normal 35 4" xfId="510" xr:uid="{00000000-0005-0000-0000-0000FA010000}"/>
    <cellStyle name="Normal 36" xfId="511" xr:uid="{00000000-0005-0000-0000-0000FB010000}"/>
    <cellStyle name="Normal 36 2" xfId="512" xr:uid="{00000000-0005-0000-0000-0000FC010000}"/>
    <cellStyle name="Normal 37" xfId="513" xr:uid="{00000000-0005-0000-0000-0000FD010000}"/>
    <cellStyle name="Normal 37 2" xfId="514" xr:uid="{00000000-0005-0000-0000-0000FE010000}"/>
    <cellStyle name="Normal 38" xfId="515" xr:uid="{00000000-0005-0000-0000-0000FF010000}"/>
    <cellStyle name="Normal 38 2" xfId="516" xr:uid="{00000000-0005-0000-0000-000000020000}"/>
    <cellStyle name="Normal 38 2 2" xfId="517" xr:uid="{00000000-0005-0000-0000-000001020000}"/>
    <cellStyle name="Normal 38 2 3" xfId="518" xr:uid="{00000000-0005-0000-0000-000002020000}"/>
    <cellStyle name="Normal 39" xfId="519" xr:uid="{00000000-0005-0000-0000-000003020000}"/>
    <cellStyle name="Normal 39 2" xfId="520" xr:uid="{00000000-0005-0000-0000-000004020000}"/>
    <cellStyle name="Normal 39 2 2" xfId="521" xr:uid="{00000000-0005-0000-0000-000005020000}"/>
    <cellStyle name="Normal 39 2 3" xfId="522" xr:uid="{00000000-0005-0000-0000-000006020000}"/>
    <cellStyle name="Normal 4" xfId="523" xr:uid="{00000000-0005-0000-0000-000007020000}"/>
    <cellStyle name="Normal 4 2" xfId="524" xr:uid="{00000000-0005-0000-0000-000008020000}"/>
    <cellStyle name="Normal 4 3" xfId="525" xr:uid="{00000000-0005-0000-0000-000009020000}"/>
    <cellStyle name="Normal 4 3 2" xfId="526" xr:uid="{00000000-0005-0000-0000-00000A020000}"/>
    <cellStyle name="Normal 4 3 3" xfId="527" xr:uid="{00000000-0005-0000-0000-00000B020000}"/>
    <cellStyle name="Normal 4 4" xfId="528" xr:uid="{00000000-0005-0000-0000-00000C020000}"/>
    <cellStyle name="Normal 4 5" xfId="529" xr:uid="{00000000-0005-0000-0000-00000D020000}"/>
    <cellStyle name="Normal 40" xfId="530" xr:uid="{00000000-0005-0000-0000-00000E020000}"/>
    <cellStyle name="Normal 40 2" xfId="531" xr:uid="{00000000-0005-0000-0000-00000F020000}"/>
    <cellStyle name="Normal 41" xfId="532" xr:uid="{00000000-0005-0000-0000-000010020000}"/>
    <cellStyle name="Normal 41 2" xfId="533" xr:uid="{00000000-0005-0000-0000-000011020000}"/>
    <cellStyle name="Normal 41 2 2" xfId="534" xr:uid="{00000000-0005-0000-0000-000012020000}"/>
    <cellStyle name="Normal 41 2 3" xfId="535" xr:uid="{00000000-0005-0000-0000-000013020000}"/>
    <cellStyle name="Normal 42" xfId="536" xr:uid="{00000000-0005-0000-0000-000014020000}"/>
    <cellStyle name="Normal 42 2" xfId="537" xr:uid="{00000000-0005-0000-0000-000015020000}"/>
    <cellStyle name="Normal 42 2 2" xfId="538" xr:uid="{00000000-0005-0000-0000-000016020000}"/>
    <cellStyle name="Normal 42 2 3" xfId="539" xr:uid="{00000000-0005-0000-0000-000017020000}"/>
    <cellStyle name="Normal 43" xfId="540" xr:uid="{00000000-0005-0000-0000-000018020000}"/>
    <cellStyle name="Normal 43 2" xfId="541" xr:uid="{00000000-0005-0000-0000-000019020000}"/>
    <cellStyle name="Normal 44" xfId="542" xr:uid="{00000000-0005-0000-0000-00001A020000}"/>
    <cellStyle name="Normal 44 2" xfId="543" xr:uid="{00000000-0005-0000-0000-00001B020000}"/>
    <cellStyle name="Normal 44 2 2" xfId="544" xr:uid="{00000000-0005-0000-0000-00001C020000}"/>
    <cellStyle name="Normal 44 2 3" xfId="545" xr:uid="{00000000-0005-0000-0000-00001D020000}"/>
    <cellStyle name="Normal 45" xfId="546" xr:uid="{00000000-0005-0000-0000-00001E020000}"/>
    <cellStyle name="Normal 45 2" xfId="547" xr:uid="{00000000-0005-0000-0000-00001F020000}"/>
    <cellStyle name="Normal 46" xfId="548" xr:uid="{00000000-0005-0000-0000-000020020000}"/>
    <cellStyle name="Normal 46 2" xfId="549" xr:uid="{00000000-0005-0000-0000-000021020000}"/>
    <cellStyle name="Normal 47" xfId="550" xr:uid="{00000000-0005-0000-0000-000022020000}"/>
    <cellStyle name="Normal 48" xfId="551" xr:uid="{00000000-0005-0000-0000-000023020000}"/>
    <cellStyle name="Normal 49" xfId="552" xr:uid="{00000000-0005-0000-0000-000024020000}"/>
    <cellStyle name="Normal 5" xfId="553" xr:uid="{00000000-0005-0000-0000-000025020000}"/>
    <cellStyle name="Normal 5 2" xfId="554" xr:uid="{00000000-0005-0000-0000-000026020000}"/>
    <cellStyle name="Normal 50" xfId="555" xr:uid="{00000000-0005-0000-0000-000027020000}"/>
    <cellStyle name="Normal 51" xfId="556" xr:uid="{00000000-0005-0000-0000-000028020000}"/>
    <cellStyle name="Normal 52" xfId="557" xr:uid="{00000000-0005-0000-0000-000029020000}"/>
    <cellStyle name="Normal 52 2" xfId="558" xr:uid="{00000000-0005-0000-0000-00002A020000}"/>
    <cellStyle name="Normal 52 3" xfId="559" xr:uid="{00000000-0005-0000-0000-00002B020000}"/>
    <cellStyle name="Normal 53" xfId="560" xr:uid="{00000000-0005-0000-0000-00002C020000}"/>
    <cellStyle name="Normal 53 2" xfId="561" xr:uid="{00000000-0005-0000-0000-00002D020000}"/>
    <cellStyle name="Normal 53 3" xfId="562" xr:uid="{00000000-0005-0000-0000-00002E020000}"/>
    <cellStyle name="Normal 54" xfId="563" xr:uid="{00000000-0005-0000-0000-00002F020000}"/>
    <cellStyle name="Normal 54 2" xfId="564" xr:uid="{00000000-0005-0000-0000-000030020000}"/>
    <cellStyle name="Normal 54 2 2" xfId="565" xr:uid="{00000000-0005-0000-0000-000031020000}"/>
    <cellStyle name="Normal 54 3" xfId="566" xr:uid="{00000000-0005-0000-0000-000032020000}"/>
    <cellStyle name="Normal 54 4" xfId="567" xr:uid="{00000000-0005-0000-0000-000033020000}"/>
    <cellStyle name="Normal 55" xfId="568" xr:uid="{00000000-0005-0000-0000-000034020000}"/>
    <cellStyle name="Normal 56" xfId="569" xr:uid="{00000000-0005-0000-0000-000035020000}"/>
    <cellStyle name="Normal 57" xfId="570" xr:uid="{00000000-0005-0000-0000-000036020000}"/>
    <cellStyle name="Normal 57 2" xfId="571" xr:uid="{00000000-0005-0000-0000-000037020000}"/>
    <cellStyle name="Normal 57 3" xfId="572" xr:uid="{00000000-0005-0000-0000-000038020000}"/>
    <cellStyle name="Normal 58" xfId="573" xr:uid="{00000000-0005-0000-0000-000039020000}"/>
    <cellStyle name="Normal 58 2" xfId="574" xr:uid="{00000000-0005-0000-0000-00003A020000}"/>
    <cellStyle name="Normal 59" xfId="575" xr:uid="{00000000-0005-0000-0000-00003B020000}"/>
    <cellStyle name="Normal 6" xfId="576" xr:uid="{00000000-0005-0000-0000-00003C020000}"/>
    <cellStyle name="Normal 6 2" xfId="577" xr:uid="{00000000-0005-0000-0000-00003D020000}"/>
    <cellStyle name="Normal 60" xfId="578" xr:uid="{00000000-0005-0000-0000-00003E020000}"/>
    <cellStyle name="Normal 61" xfId="579" xr:uid="{00000000-0005-0000-0000-00003F020000}"/>
    <cellStyle name="Normal 62" xfId="580" xr:uid="{00000000-0005-0000-0000-000040020000}"/>
    <cellStyle name="Normal 63" xfId="581" xr:uid="{00000000-0005-0000-0000-000041020000}"/>
    <cellStyle name="Normal 64" xfId="582" xr:uid="{00000000-0005-0000-0000-000042020000}"/>
    <cellStyle name="Normal 64 2" xfId="583" xr:uid="{00000000-0005-0000-0000-000043020000}"/>
    <cellStyle name="Normal 64 3" xfId="584" xr:uid="{00000000-0005-0000-0000-000044020000}"/>
    <cellStyle name="Normal 65" xfId="585" xr:uid="{00000000-0005-0000-0000-000045020000}"/>
    <cellStyle name="Normal 66" xfId="586" xr:uid="{00000000-0005-0000-0000-000046020000}"/>
    <cellStyle name="Normal 67" xfId="587" xr:uid="{00000000-0005-0000-0000-000047020000}"/>
    <cellStyle name="Normal 67 2" xfId="588" xr:uid="{00000000-0005-0000-0000-000048020000}"/>
    <cellStyle name="Normal 68" xfId="589" xr:uid="{00000000-0005-0000-0000-000049020000}"/>
    <cellStyle name="Normal 69" xfId="590" xr:uid="{00000000-0005-0000-0000-00004A020000}"/>
    <cellStyle name="Normal 7" xfId="591" xr:uid="{00000000-0005-0000-0000-00004B020000}"/>
    <cellStyle name="Normal 7 2" xfId="592" xr:uid="{00000000-0005-0000-0000-00004C020000}"/>
    <cellStyle name="Normal 7_USDTreasury" xfId="593" xr:uid="{00000000-0005-0000-0000-00004D020000}"/>
    <cellStyle name="Normal 70" xfId="594" xr:uid="{00000000-0005-0000-0000-00004E020000}"/>
    <cellStyle name="Normal 70 2" xfId="595" xr:uid="{00000000-0005-0000-0000-00004F020000}"/>
    <cellStyle name="Normal 70 3" xfId="596" xr:uid="{00000000-0005-0000-0000-000050020000}"/>
    <cellStyle name="Normal 71" xfId="597" xr:uid="{00000000-0005-0000-0000-000051020000}"/>
    <cellStyle name="Normal 71 2" xfId="598" xr:uid="{00000000-0005-0000-0000-000052020000}"/>
    <cellStyle name="Normal 71 3" xfId="599" xr:uid="{00000000-0005-0000-0000-000053020000}"/>
    <cellStyle name="Normal 71 4" xfId="600" xr:uid="{00000000-0005-0000-0000-000054020000}"/>
    <cellStyle name="Normal 72" xfId="601" xr:uid="{00000000-0005-0000-0000-000055020000}"/>
    <cellStyle name="Normal 73" xfId="602" xr:uid="{00000000-0005-0000-0000-000056020000}"/>
    <cellStyle name="Normal 73 2" xfId="603" xr:uid="{00000000-0005-0000-0000-000057020000}"/>
    <cellStyle name="Normal 73 2 2" xfId="604" xr:uid="{00000000-0005-0000-0000-000058020000}"/>
    <cellStyle name="Normal 73 3" xfId="605" xr:uid="{00000000-0005-0000-0000-000059020000}"/>
    <cellStyle name="Normal 73 4" xfId="606" xr:uid="{00000000-0005-0000-0000-00005A020000}"/>
    <cellStyle name="Normal 74" xfId="607" xr:uid="{00000000-0005-0000-0000-00005B020000}"/>
    <cellStyle name="Normal 75" xfId="608" xr:uid="{00000000-0005-0000-0000-00005C020000}"/>
    <cellStyle name="Normal 76" xfId="609" xr:uid="{00000000-0005-0000-0000-00005D020000}"/>
    <cellStyle name="Normal 76 2" xfId="610" xr:uid="{00000000-0005-0000-0000-00005E020000}"/>
    <cellStyle name="Normal 76 3" xfId="611" xr:uid="{00000000-0005-0000-0000-00005F020000}"/>
    <cellStyle name="Normal 77" xfId="612" xr:uid="{00000000-0005-0000-0000-000060020000}"/>
    <cellStyle name="Normal 78" xfId="613" xr:uid="{00000000-0005-0000-0000-000061020000}"/>
    <cellStyle name="Normal 78 2" xfId="614" xr:uid="{00000000-0005-0000-0000-000062020000}"/>
    <cellStyle name="Normal 78 3" xfId="615" xr:uid="{00000000-0005-0000-0000-000063020000}"/>
    <cellStyle name="Normal 79" xfId="616" xr:uid="{00000000-0005-0000-0000-000064020000}"/>
    <cellStyle name="Normal 8" xfId="617" xr:uid="{00000000-0005-0000-0000-000065020000}"/>
    <cellStyle name="Normal 8 2" xfId="618" xr:uid="{00000000-0005-0000-0000-000066020000}"/>
    <cellStyle name="Normal 8 3" xfId="619" xr:uid="{00000000-0005-0000-0000-000067020000}"/>
    <cellStyle name="Normal 8_USDTreasury" xfId="620" xr:uid="{00000000-0005-0000-0000-000068020000}"/>
    <cellStyle name="Normal 80" xfId="621" xr:uid="{00000000-0005-0000-0000-000069020000}"/>
    <cellStyle name="Normal 80 2" xfId="622" xr:uid="{00000000-0005-0000-0000-00006A020000}"/>
    <cellStyle name="Normal 80 3" xfId="623" xr:uid="{00000000-0005-0000-0000-00006B020000}"/>
    <cellStyle name="Normal 81" xfId="624" xr:uid="{00000000-0005-0000-0000-00006C020000}"/>
    <cellStyle name="Normal 81 2" xfId="625" xr:uid="{00000000-0005-0000-0000-00006D020000}"/>
    <cellStyle name="Normal 81 3" xfId="626" xr:uid="{00000000-0005-0000-0000-00006E020000}"/>
    <cellStyle name="Normal 82" xfId="627" xr:uid="{00000000-0005-0000-0000-00006F020000}"/>
    <cellStyle name="Normal 83" xfId="628" xr:uid="{00000000-0005-0000-0000-000070020000}"/>
    <cellStyle name="Normal 84" xfId="629" xr:uid="{00000000-0005-0000-0000-000071020000}"/>
    <cellStyle name="Normal 85" xfId="630" xr:uid="{00000000-0005-0000-0000-000072020000}"/>
    <cellStyle name="Normal 86" xfId="631" xr:uid="{00000000-0005-0000-0000-000073020000}"/>
    <cellStyle name="Normal 87" xfId="632" xr:uid="{00000000-0005-0000-0000-000074020000}"/>
    <cellStyle name="Normal 87 2" xfId="633" xr:uid="{00000000-0005-0000-0000-000075020000}"/>
    <cellStyle name="Normal 87 3" xfId="634" xr:uid="{00000000-0005-0000-0000-000076020000}"/>
    <cellStyle name="Normal 88" xfId="635" xr:uid="{00000000-0005-0000-0000-000077020000}"/>
    <cellStyle name="Normal 89" xfId="636" xr:uid="{00000000-0005-0000-0000-000078020000}"/>
    <cellStyle name="Normal 9" xfId="637" xr:uid="{00000000-0005-0000-0000-000079020000}"/>
    <cellStyle name="Normal 9 2" xfId="638" xr:uid="{00000000-0005-0000-0000-00007A020000}"/>
    <cellStyle name="Normal 90" xfId="639" xr:uid="{00000000-0005-0000-0000-00007B020000}"/>
    <cellStyle name="Normal 91" xfId="640" xr:uid="{00000000-0005-0000-0000-00007C020000}"/>
    <cellStyle name="Normal 92" xfId="641" xr:uid="{00000000-0005-0000-0000-00007D020000}"/>
    <cellStyle name="Normal 93" xfId="642" xr:uid="{00000000-0005-0000-0000-00007E020000}"/>
    <cellStyle name="Normal 94" xfId="643" xr:uid="{00000000-0005-0000-0000-00007F020000}"/>
    <cellStyle name="Normal 94 2" xfId="644" xr:uid="{00000000-0005-0000-0000-000080020000}"/>
    <cellStyle name="Normal 94 3" xfId="645" xr:uid="{00000000-0005-0000-0000-000081020000}"/>
    <cellStyle name="Normal 95" xfId="646" xr:uid="{00000000-0005-0000-0000-000082020000}"/>
    <cellStyle name="Normal 96" xfId="647" xr:uid="{00000000-0005-0000-0000-000083020000}"/>
    <cellStyle name="Normal 97" xfId="648" xr:uid="{00000000-0005-0000-0000-000084020000}"/>
    <cellStyle name="Normal 97 2" xfId="649" xr:uid="{00000000-0005-0000-0000-000085020000}"/>
    <cellStyle name="Normal 97 3" xfId="650" xr:uid="{00000000-0005-0000-0000-000086020000}"/>
    <cellStyle name="Normal 98" xfId="651" xr:uid="{00000000-0005-0000-0000-000087020000}"/>
    <cellStyle name="Normal 99" xfId="652" xr:uid="{00000000-0005-0000-0000-000088020000}"/>
    <cellStyle name="Note" xfId="820" builtinId="10" customBuiltin="1"/>
    <cellStyle name="Note 2" xfId="653" xr:uid="{00000000-0005-0000-0000-000089020000}"/>
    <cellStyle name="Note 2 2" xfId="654" xr:uid="{00000000-0005-0000-0000-00008A020000}"/>
    <cellStyle name="Note 2 3" xfId="655" xr:uid="{00000000-0005-0000-0000-00008B020000}"/>
    <cellStyle name="Note 3" xfId="656" xr:uid="{00000000-0005-0000-0000-00008C020000}"/>
    <cellStyle name="ObjectDataColumn" xfId="657" xr:uid="{00000000-0005-0000-0000-00008D020000}"/>
    <cellStyle name="ObjectDataRow" xfId="658" xr:uid="{00000000-0005-0000-0000-00008E020000}"/>
    <cellStyle name="ObjectLabelColumn" xfId="659" xr:uid="{00000000-0005-0000-0000-00008F020000}"/>
    <cellStyle name="ObjectLabelRow" xfId="660" xr:uid="{00000000-0005-0000-0000-000090020000}"/>
    <cellStyle name="Output" xfId="13" builtinId="21" customBuiltin="1"/>
    <cellStyle name="Output 2" xfId="661" xr:uid="{00000000-0005-0000-0000-000092020000}"/>
    <cellStyle name="Output 2 2" xfId="662" xr:uid="{00000000-0005-0000-0000-000093020000}"/>
    <cellStyle name="Output 3" xfId="663" xr:uid="{00000000-0005-0000-0000-000094020000}"/>
    <cellStyle name="OutputDataColumn" xfId="664" xr:uid="{00000000-0005-0000-0000-000095020000}"/>
    <cellStyle name="OutputDataRow" xfId="665" xr:uid="{00000000-0005-0000-0000-000096020000}"/>
    <cellStyle name="OutputLabelColumn" xfId="666" xr:uid="{00000000-0005-0000-0000-000097020000}"/>
    <cellStyle name="OutputLabelRow" xfId="667" xr:uid="{00000000-0005-0000-0000-000098020000}"/>
    <cellStyle name="PanelLabel" xfId="668" xr:uid="{00000000-0005-0000-0000-000099020000}"/>
    <cellStyle name="per.style" xfId="669" xr:uid="{00000000-0005-0000-0000-00009A020000}"/>
    <cellStyle name="Percent" xfId="1" builtinId="5"/>
    <cellStyle name="Percent 10" xfId="671" xr:uid="{00000000-0005-0000-0000-00009C020000}"/>
    <cellStyle name="Percent 10 2" xfId="672" xr:uid="{00000000-0005-0000-0000-00009D020000}"/>
    <cellStyle name="Percent 10 2 2" xfId="673" xr:uid="{00000000-0005-0000-0000-00009E020000}"/>
    <cellStyle name="Percent 10 2 3" xfId="674" xr:uid="{00000000-0005-0000-0000-00009F020000}"/>
    <cellStyle name="Percent 11" xfId="675" xr:uid="{00000000-0005-0000-0000-0000A0020000}"/>
    <cellStyle name="Percent 11 2" xfId="676" xr:uid="{00000000-0005-0000-0000-0000A1020000}"/>
    <cellStyle name="Percent 12" xfId="677" xr:uid="{00000000-0005-0000-0000-0000A2020000}"/>
    <cellStyle name="Percent 12 2" xfId="678" xr:uid="{00000000-0005-0000-0000-0000A3020000}"/>
    <cellStyle name="Percent 12 3" xfId="679" xr:uid="{00000000-0005-0000-0000-0000A4020000}"/>
    <cellStyle name="Percent 12 4" xfId="680" xr:uid="{00000000-0005-0000-0000-0000A5020000}"/>
    <cellStyle name="Percent 13" xfId="681" xr:uid="{00000000-0005-0000-0000-0000A6020000}"/>
    <cellStyle name="Percent 13 2" xfId="682" xr:uid="{00000000-0005-0000-0000-0000A7020000}"/>
    <cellStyle name="Percent 14" xfId="683" xr:uid="{00000000-0005-0000-0000-0000A8020000}"/>
    <cellStyle name="Percent 14 2" xfId="684" xr:uid="{00000000-0005-0000-0000-0000A9020000}"/>
    <cellStyle name="Percent 15" xfId="685" xr:uid="{00000000-0005-0000-0000-0000AA020000}"/>
    <cellStyle name="Percent 15 2" xfId="686" xr:uid="{00000000-0005-0000-0000-0000AB020000}"/>
    <cellStyle name="Percent 15 3" xfId="687" xr:uid="{00000000-0005-0000-0000-0000AC020000}"/>
    <cellStyle name="Percent 16" xfId="688" xr:uid="{00000000-0005-0000-0000-0000AD020000}"/>
    <cellStyle name="Percent 16 2" xfId="689" xr:uid="{00000000-0005-0000-0000-0000AE020000}"/>
    <cellStyle name="Percent 16 3" xfId="690" xr:uid="{00000000-0005-0000-0000-0000AF020000}"/>
    <cellStyle name="Percent 17" xfId="691" xr:uid="{00000000-0005-0000-0000-0000B0020000}"/>
    <cellStyle name="Percent 17 2" xfId="692" xr:uid="{00000000-0005-0000-0000-0000B1020000}"/>
    <cellStyle name="Percent 18" xfId="693" xr:uid="{00000000-0005-0000-0000-0000B2020000}"/>
    <cellStyle name="Percent 18 2" xfId="694" xr:uid="{00000000-0005-0000-0000-0000B3020000}"/>
    <cellStyle name="Percent 19" xfId="695" xr:uid="{00000000-0005-0000-0000-0000B4020000}"/>
    <cellStyle name="Percent 19 2" xfId="696" xr:uid="{00000000-0005-0000-0000-0000B5020000}"/>
    <cellStyle name="Percent 2" xfId="697" xr:uid="{00000000-0005-0000-0000-0000B6020000}"/>
    <cellStyle name="Percent 2 2" xfId="698" xr:uid="{00000000-0005-0000-0000-0000B7020000}"/>
    <cellStyle name="Percent 2 2 2" xfId="699" xr:uid="{00000000-0005-0000-0000-0000B8020000}"/>
    <cellStyle name="Percent 2 3" xfId="700" xr:uid="{00000000-0005-0000-0000-0000B9020000}"/>
    <cellStyle name="Percent 2 3 2" xfId="701" xr:uid="{00000000-0005-0000-0000-0000BA020000}"/>
    <cellStyle name="Percent 2 4" xfId="702" xr:uid="{00000000-0005-0000-0000-0000BB020000}"/>
    <cellStyle name="Percent 2 5" xfId="703" xr:uid="{00000000-0005-0000-0000-0000BC020000}"/>
    <cellStyle name="Percent 2 6" xfId="704" xr:uid="{00000000-0005-0000-0000-0000BD020000}"/>
    <cellStyle name="Percent 2 7" xfId="705" xr:uid="{00000000-0005-0000-0000-0000BE020000}"/>
    <cellStyle name="Percent 2 7 2" xfId="706" xr:uid="{00000000-0005-0000-0000-0000BF020000}"/>
    <cellStyle name="Percent 20" xfId="707" xr:uid="{00000000-0005-0000-0000-0000C0020000}"/>
    <cellStyle name="Percent 20 2" xfId="708" xr:uid="{00000000-0005-0000-0000-0000C1020000}"/>
    <cellStyle name="Percent 21" xfId="709" xr:uid="{00000000-0005-0000-0000-0000C2020000}"/>
    <cellStyle name="Percent 21 2" xfId="710" xr:uid="{00000000-0005-0000-0000-0000C3020000}"/>
    <cellStyle name="Percent 22" xfId="711" xr:uid="{00000000-0005-0000-0000-0000C4020000}"/>
    <cellStyle name="Percent 22 2" xfId="712" xr:uid="{00000000-0005-0000-0000-0000C5020000}"/>
    <cellStyle name="Percent 23" xfId="713" xr:uid="{00000000-0005-0000-0000-0000C6020000}"/>
    <cellStyle name="Percent 23 2" xfId="714" xr:uid="{00000000-0005-0000-0000-0000C7020000}"/>
    <cellStyle name="Percent 24" xfId="715" xr:uid="{00000000-0005-0000-0000-0000C8020000}"/>
    <cellStyle name="Percent 24 2" xfId="716" xr:uid="{00000000-0005-0000-0000-0000C9020000}"/>
    <cellStyle name="Percent 25" xfId="717" xr:uid="{00000000-0005-0000-0000-0000CA020000}"/>
    <cellStyle name="Percent 25 2" xfId="718" xr:uid="{00000000-0005-0000-0000-0000CB020000}"/>
    <cellStyle name="Percent 26" xfId="719" xr:uid="{00000000-0005-0000-0000-0000CC020000}"/>
    <cellStyle name="Percent 26 2" xfId="720" xr:uid="{00000000-0005-0000-0000-0000CD020000}"/>
    <cellStyle name="Percent 27" xfId="721" xr:uid="{00000000-0005-0000-0000-0000CE020000}"/>
    <cellStyle name="Percent 27 2" xfId="722" xr:uid="{00000000-0005-0000-0000-0000CF020000}"/>
    <cellStyle name="Percent 28" xfId="723" xr:uid="{00000000-0005-0000-0000-0000D0020000}"/>
    <cellStyle name="Percent 28 2" xfId="724" xr:uid="{00000000-0005-0000-0000-0000D1020000}"/>
    <cellStyle name="Percent 29" xfId="725" xr:uid="{00000000-0005-0000-0000-0000D2020000}"/>
    <cellStyle name="Percent 29 2" xfId="726" xr:uid="{00000000-0005-0000-0000-0000D3020000}"/>
    <cellStyle name="Percent 3" xfId="727" xr:uid="{00000000-0005-0000-0000-0000D4020000}"/>
    <cellStyle name="Percent 3 2" xfId="728" xr:uid="{00000000-0005-0000-0000-0000D5020000}"/>
    <cellStyle name="Percent 3 2 2" xfId="729" xr:uid="{00000000-0005-0000-0000-0000D6020000}"/>
    <cellStyle name="Percent 3 3" xfId="730" xr:uid="{00000000-0005-0000-0000-0000D7020000}"/>
    <cellStyle name="Percent 3 4" xfId="731" xr:uid="{00000000-0005-0000-0000-0000D8020000}"/>
    <cellStyle name="Percent 3 5" xfId="732" xr:uid="{00000000-0005-0000-0000-0000D9020000}"/>
    <cellStyle name="Percent 3 5 2" xfId="733" xr:uid="{00000000-0005-0000-0000-0000DA020000}"/>
    <cellStyle name="Percent 30" xfId="734" xr:uid="{00000000-0005-0000-0000-0000DB020000}"/>
    <cellStyle name="Percent 30 2" xfId="735" xr:uid="{00000000-0005-0000-0000-0000DC020000}"/>
    <cellStyle name="Percent 30 3" xfId="736" xr:uid="{00000000-0005-0000-0000-0000DD020000}"/>
    <cellStyle name="Percent 31" xfId="737" xr:uid="{00000000-0005-0000-0000-0000DE020000}"/>
    <cellStyle name="Percent 31 2" xfId="738" xr:uid="{00000000-0005-0000-0000-0000DF020000}"/>
    <cellStyle name="Percent 32" xfId="739" xr:uid="{00000000-0005-0000-0000-0000E0020000}"/>
    <cellStyle name="Percent 32 2" xfId="740" xr:uid="{00000000-0005-0000-0000-0000E1020000}"/>
    <cellStyle name="Percent 32 3" xfId="741" xr:uid="{00000000-0005-0000-0000-0000E2020000}"/>
    <cellStyle name="Percent 33" xfId="742" xr:uid="{00000000-0005-0000-0000-0000E3020000}"/>
    <cellStyle name="Percent 33 2" xfId="743" xr:uid="{00000000-0005-0000-0000-0000E4020000}"/>
    <cellStyle name="Percent 34" xfId="744" xr:uid="{00000000-0005-0000-0000-0000E5020000}"/>
    <cellStyle name="Percent 35" xfId="745" xr:uid="{00000000-0005-0000-0000-0000E6020000}"/>
    <cellStyle name="Percent 35 2" xfId="746" xr:uid="{00000000-0005-0000-0000-0000E7020000}"/>
    <cellStyle name="Percent 36" xfId="670" xr:uid="{00000000-0005-0000-0000-0000E8020000}"/>
    <cellStyle name="Percent 37" xfId="816" xr:uid="{00000000-0005-0000-0000-00003E030000}"/>
    <cellStyle name="Percent 38" xfId="823" xr:uid="{00000000-0005-0000-0000-000042030000}"/>
    <cellStyle name="Percent 4" xfId="747" xr:uid="{00000000-0005-0000-0000-0000E9020000}"/>
    <cellStyle name="Percent 4 2" xfId="748" xr:uid="{00000000-0005-0000-0000-0000EA020000}"/>
    <cellStyle name="Percent 4 2 2" xfId="749" xr:uid="{00000000-0005-0000-0000-0000EB020000}"/>
    <cellStyle name="Percent 4 2 3" xfId="750" xr:uid="{00000000-0005-0000-0000-0000EC020000}"/>
    <cellStyle name="Percent 4 3" xfId="751" xr:uid="{00000000-0005-0000-0000-0000ED020000}"/>
    <cellStyle name="Percent 4 3 2" xfId="752" xr:uid="{00000000-0005-0000-0000-0000EE020000}"/>
    <cellStyle name="Percent 4 4" xfId="753" xr:uid="{00000000-0005-0000-0000-0000EF020000}"/>
    <cellStyle name="Percent 4 5" xfId="754" xr:uid="{00000000-0005-0000-0000-0000F0020000}"/>
    <cellStyle name="Percent 5" xfId="755" xr:uid="{00000000-0005-0000-0000-0000F1020000}"/>
    <cellStyle name="Percent 5 2" xfId="756" xr:uid="{00000000-0005-0000-0000-0000F2020000}"/>
    <cellStyle name="Percent 5 3" xfId="757" xr:uid="{00000000-0005-0000-0000-0000F3020000}"/>
    <cellStyle name="Percent 5 4" xfId="758" xr:uid="{00000000-0005-0000-0000-0000F4020000}"/>
    <cellStyle name="Percent 5 5" xfId="759" xr:uid="{00000000-0005-0000-0000-0000F5020000}"/>
    <cellStyle name="Percent 6" xfId="760" xr:uid="{00000000-0005-0000-0000-0000F6020000}"/>
    <cellStyle name="Percent 6 2" xfId="761" xr:uid="{00000000-0005-0000-0000-0000F7020000}"/>
    <cellStyle name="Percent 7" xfId="762" xr:uid="{00000000-0005-0000-0000-0000F8020000}"/>
    <cellStyle name="Percent 7 2" xfId="763" xr:uid="{00000000-0005-0000-0000-0000F9020000}"/>
    <cellStyle name="Percent 8" xfId="764" xr:uid="{00000000-0005-0000-0000-0000FA020000}"/>
    <cellStyle name="Percent 8 2" xfId="765" xr:uid="{00000000-0005-0000-0000-0000FB020000}"/>
    <cellStyle name="Percent 9" xfId="766" xr:uid="{00000000-0005-0000-0000-0000FC020000}"/>
    <cellStyle name="Percent 9 2" xfId="767" xr:uid="{00000000-0005-0000-0000-0000FD020000}"/>
    <cellStyle name="Percent 9 3" xfId="768" xr:uid="{00000000-0005-0000-0000-0000FE020000}"/>
    <cellStyle name="Percent 9 4" xfId="769" xr:uid="{00000000-0005-0000-0000-0000FF020000}"/>
    <cellStyle name="result" xfId="770" xr:uid="{00000000-0005-0000-0000-000000030000}"/>
    <cellStyle name="SmallTableTitle" xfId="771" xr:uid="{00000000-0005-0000-0000-000001030000}"/>
    <cellStyle name="spreads" xfId="772" xr:uid="{00000000-0005-0000-0000-000002030000}"/>
    <cellStyle name="Style 1" xfId="773" xr:uid="{00000000-0005-0000-0000-000003030000}"/>
    <cellStyle name="Style 1 2" xfId="774" xr:uid="{00000000-0005-0000-0000-000004030000}"/>
    <cellStyle name="swaptn" xfId="775" xr:uid="{00000000-0005-0000-0000-000005030000}"/>
    <cellStyle name="Table" xfId="776" xr:uid="{00000000-0005-0000-0000-000006030000}"/>
    <cellStyle name="Table4" xfId="777" xr:uid="{00000000-0005-0000-0000-000007030000}"/>
    <cellStyle name="TableBlue" xfId="778" xr:uid="{00000000-0005-0000-0000-000008030000}"/>
    <cellStyle name="TableBlue4" xfId="779" xr:uid="{00000000-0005-0000-0000-000009030000}"/>
    <cellStyle name="TableDataColumn" xfId="780" xr:uid="{00000000-0005-0000-0000-00000A030000}"/>
    <cellStyle name="TableDataRow" xfId="781" xr:uid="{00000000-0005-0000-0000-00000B030000}"/>
    <cellStyle name="TableLabelColumn" xfId="782" xr:uid="{00000000-0005-0000-0000-00000C030000}"/>
    <cellStyle name="TableLabelRow" xfId="783" xr:uid="{00000000-0005-0000-0000-00000D030000}"/>
    <cellStyle name="TableLabelTop" xfId="784" xr:uid="{00000000-0005-0000-0000-00000E030000}"/>
    <cellStyle name="TableLightBlue" xfId="785" xr:uid="{00000000-0005-0000-0000-00000F030000}"/>
    <cellStyle name="TableLightBlue4" xfId="786" xr:uid="{00000000-0005-0000-0000-000010030000}"/>
    <cellStyle name="TablePink" xfId="787" xr:uid="{00000000-0005-0000-0000-000011030000}"/>
    <cellStyle name="TablePink4" xfId="788" xr:uid="{00000000-0005-0000-0000-000012030000}"/>
    <cellStyle name="TableRed" xfId="789" xr:uid="{00000000-0005-0000-0000-000013030000}"/>
    <cellStyle name="TableRed4" xfId="790" xr:uid="{00000000-0005-0000-0000-000014030000}"/>
    <cellStyle name="TableTenor" xfId="791" xr:uid="{00000000-0005-0000-0000-000015030000}"/>
    <cellStyle name="TableYellow" xfId="792" xr:uid="{00000000-0005-0000-0000-000016030000}"/>
    <cellStyle name="TableYellow4" xfId="793" xr:uid="{00000000-0005-0000-0000-000017030000}"/>
    <cellStyle name="TabStyle1" xfId="794" xr:uid="{00000000-0005-0000-0000-000018030000}"/>
    <cellStyle name="Title 2" xfId="796" xr:uid="{00000000-0005-0000-0000-000019030000}"/>
    <cellStyle name="Title 3" xfId="797" xr:uid="{00000000-0005-0000-0000-00001A030000}"/>
    <cellStyle name="Title 4" xfId="795" xr:uid="{00000000-0005-0000-0000-00001B030000}"/>
    <cellStyle name="Total" xfId="19" builtinId="25" customBuiltin="1"/>
    <cellStyle name="Total 2" xfId="798" xr:uid="{00000000-0005-0000-0000-00001D030000}"/>
    <cellStyle name="Total 2 2" xfId="799" xr:uid="{00000000-0005-0000-0000-00001E030000}"/>
    <cellStyle name="Total 3" xfId="800" xr:uid="{00000000-0005-0000-0000-00001F030000}"/>
    <cellStyle name="Total 3 2" xfId="801" xr:uid="{00000000-0005-0000-0000-000020030000}"/>
    <cellStyle name="Warning Text" xfId="17" builtinId="11" customBuiltin="1"/>
    <cellStyle name="Warning Text 2" xfId="802" xr:uid="{00000000-0005-0000-0000-000022030000}"/>
    <cellStyle name="Warning Text 2 2" xfId="803" xr:uid="{00000000-0005-0000-0000-000023030000}"/>
    <cellStyle name="Warning Text 3" xfId="804" xr:uid="{00000000-0005-0000-0000-000024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6314</v>
        <stp/>
        <stp>##V3_BDPV12</stp>
        <stp>ZAR12m Curncy</stp>
        <stp>PX_LAST</stp>
        <stp>[Qwack - LMELookBackExample.xlsx]FundingFx!R9C2</stp>
        <tr r="B9" s="2"/>
      </tp>
    </main>
    <main first="bloomberg.rtd">
      <tp>
        <v>21469</v>
        <stp/>
        <stp>##V3_BDPV12</stp>
        <stp>ZAR3y Curncy</stp>
        <stp>PX_LAST</stp>
        <stp>[Qwack - LMELookBackExample.xlsx]FundingFx!R12C2</stp>
        <tr r="B12" s="2"/>
      </tp>
      <tp>
        <v>41218</v>
        <stp/>
        <stp>##V3_BDPV12</stp>
        <stp>ZAR5y Curncy</stp>
        <stp>PX_LAST</stp>
        <stp>[Qwack - LMELookBackExample.xlsx]FundingFx!R13C2</stp>
        <tr r="B13" s="2"/>
      </tp>
      <tp>
        <v>2.7757499999999999</v>
        <stp/>
        <stp>##V3_BDPV12</stp>
        <stp>US0003M Index</stp>
        <stp>PX_LAST</stp>
        <stp>[Qwack - LMELookBackExample.xlsx]FundingFx!R1C8</stp>
        <tr r="H1" s="2"/>
      </tp>
      <tp t="s">
        <v>43231{%f},12.2784{%f};43234{%f},12.2539{%f};43235{%f},12.4975{%f};43236{%f},12.5177{%f};43237{%f},12.516{%f};43238{%f},12.6839{%f};43241{%f},12.8454{%f};43242{%f},12.5425{%f};43243{%f},12.6523{%f};43244{%f},12.463{%f};43245{%f},12.5213{%f};43248{%f},12.4418{%f};43249{%f},12.675{%f};43250{%f},12.5441{%f};43251{%f},12.5662{%f};43252{%f},12.6985{%f};43255{%f},12.5532{%f};43256{%f},12.686{%f};43257{%f},12.7666{%f};43258{%f},12.7949{%f};43259{%f},13.0773{%f};43262{%f},13.1499{%f};43263{%f},13.17{%f};43264{%f},13.2785{%f};43265{%f},13.1695{%f};43266{%f},13.4051{%f};43269{%f},13.4612{%f};43270{%f},13.8588{%f};43271{%f},13.6865{%f};43272{%f},13.6628{%f};43273{%f},13.4946{%f};43276{%f},13.5377{%f};43277{%f},13.5613{%f};43278{%f},13.6787{%f};43279{%f},13.8412{%f};43280{%f},13.758{%f};43283{%f},13.8299{%f};43284{%f},13.6854{%f};43285{%f},13.717{%f};43286{%f},13.6108{%f};43287{%f},13.607{%f};43290{%f},13.3223{%f};43291{%f},13.446{%f};43292{%f},13.4891{%f};43293{%f},13.4222{%f};43294{%f},13.3489{%f};43297{%f},13.1883{%f};43298{%f},13.2819{%f};43299{%f},13.3493{%f};43300{%f},13.4482{%f};43301{%f},13.4685{%f};43304{%f},13.5161{%f};43305{%f},13.2956{%f};43306{%f},13.2103{%f};43307{%f},13.1961{%f};43308{%f},13.2427{%f};43311{%f},13.1852{%f};43312{%f},13.1037{%f};43313{%f},13.2859{%f};43314{%f},13.4431{%f};43315{%f},13.3439{%f};43318{%f},13.4181{%f};43319{%f},13.2991{%f};43320{%f},13.4501{%f};43321{%f},13.5132{%f};43322{%f},13.9057{%f};43325{%f},14.3325{%f};43326{%f},14.1585{%f};43327{%f},14.6754{%f};43328{%f},14.5637{%f};43329{%f},14.8501{%f};43332{%f},14.5692{%f};43333{%f},14.4185{%f};43334{%f},14.2822{%f};43335{%f},14.2354{%f};43336{%f},14.2389{%f};43339{%f},14.3283{%f};43340{%f},14.1414{%f};43341{%f},14.3909{%f};43342{%f},14.5852{%f};43343{%f},14.7334{%f};43346{%f},14.8568{%f};43347{%f},15.1971{%f};43348{%f},15.5441{%f};43349{%f},15.32{%f};43350{%f},15.1336{%f};43353{%f},15.1824{%f};43354{%f},15.0925{%f};43355{%f},15.0545{%f};43356{%f},14.7641{%f};43357{%f},14.8333{%f};43360{%f},14.9864{%f};43361{%f},14.9128{%f};43362{%f},14.6342{%f};43363{%f},14.4681{%f};43364{%f},14.3785{%f};43367{%f},14.2438{%f};43368{%f},14.3701{%f};43369{%f},14.2941{%f};43370{%f},14.1338{%f};43371{%f},14.221{%f};43374{%f},14.1469{%f};43375{%f},14.4004{%f};43376{%f},14.3717{%f};43377{%f},14.6381{%f};43378{%f},14.7448{%f};43381{%f},14.8428{%f};43382{%f},15.0144{%f};43383{%f},14.6593{%f};43384{%f},14.6056{%f};43385{%f},14.4392{%f};43388{%f},14.443{%f};43389{%f},14.2563{%f};43390{%f},14.2753{%f};43391{%f},14.2488{%f};43392{%f},14.3567{%f};43395{%f},14.2982{%f};43396{%f},14.3419{%f};43397{%f},14.1889{%f};43398{%f},14.4754{%f};43399{%f},14.7503{%f};43402{%f},14.4621{%f};43403{%f},14.6292{%f};43404{%f},14.8289{%f};43405{%f},14.5926{%f};43406{%f},14.3297{%f};43409{%f},14.3682{%f};43410{%f},14.1967{%f};43411{%f},13.9365{%f};43412{%f},13.9824{%f};43413{%f},14.2637{%f};43416{%f},14.367{%f};43417{%f},14.4113{%f};43418{%f},14.3703{%f};43419{%f},14.2465{%f};43420{%f},14.2141{%f};43423{%f},14.0073{%f};43424{%f},14.0762{%f};43425{%f},13.9436{%f};43426{%f},13.8414{%f};43427{%f},13.8613{%f};43430{%f},13.833{%f};43431{%f},13.804{%f};43432{%f},13.9403{%f};43433{%f},13.6335{%f};43434{%f},13.7371{%f};43437{%f},13.6946{%f};43438{%f},13.5874{%f};43439{%f},13.755{%f};43440{%f},14.0913{%f};43441{%f},14.1536{%f};43444{%f},14.2796{%f};43445{%f},14.2995{%f};43446{%f},14.2354{%f};43447{%f},14.1817{%f};43448{%f},14.3612{%f};43451{%f},14.374{%f};43452{%f},14.318{%f};43453{%f},14.2678{%f};43454{%f},14.2079{%f};43455{%f},14.4245{%f};43458{%f},14.6007{%f};43460{%f},14.6087{%f};43461{%f},14.5114{%f};43462{%f},14.3675{%f};43465{%f},14.365{%f};43467{%f},14.4916{%f};43468{%f},14.4787{%f};43469{%f},14.1283{%f};43472{%f},13.8958{%f};43473{%f},14.0152{%f};43474{%f},13.9815{%f};43475{%f},13.8712{%f};43476{%f},13.8369{%f};43479{%f},13.8817{%f};43480{%f},13.8278{%f};43481{%f},13.7237{%f};43482{%f},13.7452{%f}##BDH_RS##</v>
        <stp/>
        <stp>##V3_BDHV12</stp>
        <stp>ZAR L130 Curncy</stp>
        <stp>PX_LAST</stp>
        <stp>11/05/2018</stp>
        <stp>17/01/2019</stp>
        <stp>[Qwack - LMELookBackExample.xlsx]MetalCurves!R6C42</stp>
        <stp>Array=true</stp>
        <tr r="AP6" s="1"/>
      </tp>
      <tp>
        <v>15.442500000000001</v>
        <stp/>
        <stp>##V3_BDPV12</stp>
        <stp>USDZARV3w Curncy</stp>
        <stp>PX_MID</stp>
        <stp>[Qwack - LMELookBackExample.xlsx]FundingFx!R4C13</stp>
        <tr r="M4" s="2"/>
      </tp>
      <tp>
        <v>16.13</v>
        <stp/>
        <stp>##V3_BDPV12</stp>
        <stp>USDZARV3m Curncy</stp>
        <stp>PX_MID</stp>
        <stp>[Qwack - LMELookBackExample.xlsx]FundingFx!R7C13</stp>
        <tr r="M7" s="2"/>
      </tp>
      <tp>
        <v>15.305</v>
        <stp/>
        <stp>##V3_BDPV12</stp>
        <stp>USDZARV2w Curncy</stp>
        <stp>PX_MID</stp>
        <stp>[Qwack - LMELookBackExample.xlsx]FundingFx!R3C13</stp>
        <tr r="M3" s="2"/>
      </tp>
      <tp>
        <v>15.715</v>
        <stp/>
        <stp>##V3_BDPV12</stp>
        <stp>USDZARV2m Curncy</stp>
        <stp>PX_MID</stp>
        <stp>[Qwack - LMELookBackExample.xlsx]FundingFx!R6C13</stp>
        <tr r="M6" s="2"/>
      </tp>
      <tp>
        <v>14.6625</v>
        <stp/>
        <stp>##V3_BDPV12</stp>
        <stp>USDZARV1w Curncy</stp>
        <stp>PX_MID</stp>
        <stp>[Qwack - LMELookBackExample.xlsx]FundingFx!R2C13</stp>
        <tr r="M2" s="2"/>
      </tp>
      <tp>
        <v>15.352499999999999</v>
        <stp/>
        <stp>##V3_BDPV12</stp>
        <stp>USDZARV1m Curncy</stp>
        <stp>PX_MID</stp>
        <stp>[Qwack - LMELookBackExample.xlsx]FundingFx!R5C13</stp>
        <tr r="M5" s="2"/>
      </tp>
      <tp>
        <v>16.645</v>
        <stp/>
        <stp>##V3_BDPV12</stp>
        <stp>USDZARV6m Curncy</stp>
        <stp>PX_MID</stp>
        <stp>[Qwack - LMELookBackExample.xlsx]FundingFx!R8C13</stp>
        <tr r="M8" s="2"/>
      </tp>
      <tp>
        <v>16.932500000000001</v>
        <stp/>
        <stp>##V3_BDPV12</stp>
        <stp>USDZARV9m Curncy</stp>
        <stp>PX_MID</stp>
        <stp>[Qwack - LMELookBackExample.xlsx]FundingFx!R9C13</stp>
        <tr r="M9" s="2"/>
      </tp>
      <tp>
        <v>13358</v>
        <stp/>
        <stp>##V3_BDPV12</stp>
        <stp>ZAR2y Curncy</stp>
        <stp>PX_LAST</stp>
        <stp>[Qwack - LMELookBackExample.xlsx]FundingFx!R11C2</stp>
        <tr r="B11" s="2"/>
      </tp>
    </main>
    <main first="bloomberg.rtd">
      <tp>
        <v>66.5</v>
        <stp/>
        <stp>##V3_BDPV12</stp>
        <stp>LMZSDS 03X19 Comdty</stp>
        <stp>PX_SETTLE</stp>
        <stp>[Qwack - LMELookBackExample.xlsx]MetalCurves!R17C11</stp>
        <tr r="K17" s="1"/>
      </tp>
      <tp>
        <v>76.5</v>
        <stp/>
        <stp>##V3_BDPV12</stp>
        <stp>LMZSDS 03Z19 Comdty</stp>
        <stp>PX_SETTLE</stp>
        <stp>[Qwack - LMELookBackExample.xlsx]MetalCurves!R18C11</stp>
        <tr r="K18" s="1"/>
      </tp>
      <tp>
        <v>46.5</v>
        <stp/>
        <stp>##V3_BDPV12</stp>
        <stp>LMZSDS 03U19 Comdty</stp>
        <stp>PX_SETTLE</stp>
        <stp>[Qwack - LMELookBackExample.xlsx]MetalCurves!R15C11</stp>
        <tr r="K15" s="1"/>
      </tp>
      <tp>
        <v>56.5</v>
        <stp/>
        <stp>##V3_BDPV12</stp>
        <stp>LMZSDS 03V19 Comdty</stp>
        <stp>PX_SETTLE</stp>
        <stp>[Qwack - LMELookBackExample.xlsx]MetalCurves!R16C11</stp>
        <tr r="K16" s="1"/>
      </tp>
      <tp>
        <v>37</v>
        <stp/>
        <stp>##V3_BDPV12</stp>
        <stp>LMZSDS 03Q19 Comdty</stp>
        <stp>PX_SETTLE</stp>
        <stp>[Qwack - LMELookBackExample.xlsx]MetalCurves!R14C11</stp>
        <tr r="K14" s="1"/>
      </tp>
      <tp>
        <v>8</v>
        <stp/>
        <stp>##V3_BDPV12</stp>
        <stp>LMZSDS 03K19 Comdty</stp>
        <stp>PX_SETTLE</stp>
        <stp>[Qwack - LMELookBackExample.xlsx]MetalCurves!R11C11</stp>
        <tr r="K11" s="1"/>
      </tp>
      <tp>
        <v>17.5</v>
        <stp/>
        <stp>##V3_BDPV12</stp>
        <stp>LMZSDS 03M19 Comdty</stp>
        <stp>PX_SETTLE</stp>
        <stp>[Qwack - LMELookBackExample.xlsx]MetalCurves!R12C11</stp>
        <tr r="K12" s="1"/>
      </tp>
      <tp>
        <v>27.5</v>
        <stp/>
        <stp>##V3_BDPV12</stp>
        <stp>LMZSDS 03N19 Comdty</stp>
        <stp>PX_SETTLE</stp>
        <stp>[Qwack - LMELookBackExample.xlsx]MetalCurves!R13C11</stp>
        <tr r="K13" s="1"/>
      </tp>
      <tp>
        <v>386.5</v>
        <stp/>
        <stp>##V3_BDPV12</stp>
        <stp>LMZSDS 03H23 Comdty</stp>
        <stp>PX_SETTLE</stp>
        <stp>[Qwack - LMELookBackExample.xlsx]MetalCurves!R57C11</stp>
        <tr r="K57" s="1"/>
      </tp>
      <tp>
        <v>386.5</v>
        <stp/>
        <stp>##V3_BDPV12</stp>
        <stp>LMZSDS 03J23 Comdty</stp>
        <stp>PX_SETTLE</stp>
        <stp>[Qwack - LMELookBackExample.xlsx]MetalCurves!R58C11</stp>
        <tr r="K58" s="1"/>
      </tp>
      <tp>
        <v>386.5</v>
        <stp/>
        <stp>##V3_BDPV12</stp>
        <stp>LMZSDS 03K23 Comdty</stp>
        <stp>PX_SETTLE</stp>
        <stp>[Qwack - LMELookBackExample.xlsx]MetalCurves!R59C11</stp>
        <tr r="K59" s="1"/>
      </tp>
      <tp>
        <v>386.5</v>
        <stp/>
        <stp>##V3_BDPV12</stp>
        <stp>LMZSDS 03F23 Comdty</stp>
        <stp>PX_SETTLE</stp>
        <stp>[Qwack - LMELookBackExample.xlsx]MetalCurves!R55C11</stp>
        <tr r="K55" s="1"/>
      </tp>
      <tp>
        <v>386.5</v>
        <stp/>
        <stp>##V3_BDPV12</stp>
        <stp>LMZSDS 03G23 Comdty</stp>
        <stp>PX_SETTLE</stp>
        <stp>[Qwack - LMELookBackExample.xlsx]MetalCurves!R56C11</stp>
        <tr r="K56" s="1"/>
      </tp>
      <tp>
        <v>324.5</v>
        <stp/>
        <stp>##V3_BDPV12</stp>
        <stp>LMZSDS 03J22 Comdty</stp>
        <stp>PX_SETTLE</stp>
        <stp>[Qwack - LMELookBackExample.xlsx]MetalCurves!R46C11</stp>
        <tr r="K46" s="1"/>
      </tp>
      <tp>
        <v>331.5</v>
        <stp/>
        <stp>##V3_BDPV12</stp>
        <stp>LMZSDS 03K22 Comdty</stp>
        <stp>PX_SETTLE</stp>
        <stp>[Qwack - LMELookBackExample.xlsx]MetalCurves!R47C11</stp>
        <tr r="K47" s="1"/>
      </tp>
      <tp>
        <v>317.5</v>
        <stp/>
        <stp>##V3_BDPV12</stp>
        <stp>LMZSDS 03H22 Comdty</stp>
        <stp>PX_SETTLE</stp>
        <stp>[Qwack - LMELookBackExample.xlsx]MetalCurves!R45C11</stp>
        <tr r="K45" s="1"/>
      </tp>
      <tp>
        <v>310.5</v>
        <stp/>
        <stp>##V3_BDPV12</stp>
        <stp>LMZSDS 03G22 Comdty</stp>
        <stp>PX_SETTLE</stp>
        <stp>[Qwack - LMELookBackExample.xlsx]MetalCurves!R44C11</stp>
        <tr r="K44" s="1"/>
      </tp>
      <tp>
        <v>346.5</v>
        <stp/>
        <stp>##V3_BDPV12</stp>
        <stp>LMZSDS 03N22 Comdty</stp>
        <stp>PX_SETTLE</stp>
        <stp>[Qwack - LMELookBackExample.xlsx]MetalCurves!R49C11</stp>
        <tr r="K49" s="1"/>
      </tp>
      <tp>
        <v>303.5</v>
        <stp/>
        <stp>##V3_BDPV12</stp>
        <stp>LMZSDS 03F22 Comdty</stp>
        <stp>PX_SETTLE</stp>
        <stp>[Qwack - LMELookBackExample.xlsx]MetalCurves!R43C11</stp>
        <tr r="K43" s="1"/>
      </tp>
      <tp>
        <v>338.5</v>
        <stp/>
        <stp>##V3_BDPV12</stp>
        <stp>LMZSDS 03M22 Comdty</stp>
        <stp>PX_SETTLE</stp>
        <stp>[Qwack - LMELookBackExample.xlsx]MetalCurves!R48C11</stp>
        <tr r="K48" s="1"/>
      </tp>
      <tp>
        <v>378.5</v>
        <stp/>
        <stp>##V3_BDPV12</stp>
        <stp>LMZSDS 03X22 Comdty</stp>
        <stp>PX_SETTLE</stp>
        <stp>[Qwack - LMELookBackExample.xlsx]MetalCurves!R53C11</stp>
        <tr r="K53" s="1"/>
      </tp>
      <tp>
        <v>386.5</v>
        <stp/>
        <stp>##V3_BDPV12</stp>
        <stp>LMZSDS 03Z22 Comdty</stp>
        <stp>PX_SETTLE</stp>
        <stp>[Qwack - LMELookBackExample.xlsx]MetalCurves!R54C11</stp>
        <tr r="K54" s="1"/>
      </tp>
      <tp>
        <v>354.5</v>
        <stp/>
        <stp>##V3_BDPV12</stp>
        <stp>LMZSDS 03Q22 Comdty</stp>
        <stp>PX_SETTLE</stp>
        <stp>[Qwack - LMELookBackExample.xlsx]MetalCurves!R50C11</stp>
        <tr r="K50" s="1"/>
      </tp>
      <tp>
        <v>362.5</v>
        <stp/>
        <stp>##V3_BDPV12</stp>
        <stp>LMZSDS 03U22 Comdty</stp>
        <stp>PX_SETTLE</stp>
        <stp>[Qwack - LMELookBackExample.xlsx]MetalCurves!R51C11</stp>
        <tr r="K51" s="1"/>
      </tp>
      <tp>
        <v>370.5</v>
        <stp/>
        <stp>##V3_BDPV12</stp>
        <stp>LMZSDS 03V22 Comdty</stp>
        <stp>PX_SETTLE</stp>
        <stp>[Qwack - LMELookBackExample.xlsx]MetalCurves!R52C11</stp>
        <tr r="K52" s="1"/>
      </tp>
      <tp>
        <v>260.5</v>
        <stp/>
        <stp>##V3_BDPV12</stp>
        <stp>LMZSDS 03Q21 Comdty</stp>
        <stp>PX_SETTLE</stp>
        <stp>[Qwack - LMELookBackExample.xlsx]MetalCurves!R38C11</stp>
        <tr r="K38" s="1"/>
      </tp>
      <tp>
        <v>269.5</v>
        <stp/>
        <stp>##V3_BDPV12</stp>
        <stp>LMZSDS 03U21 Comdty</stp>
        <stp>PX_SETTLE</stp>
        <stp>[Qwack - LMELookBackExample.xlsx]MetalCurves!R39C11</stp>
        <tr r="K39" s="1"/>
      </tp>
      <tp>
        <v>217</v>
        <stp/>
        <stp>##V3_BDPV12</stp>
        <stp>LMZSDS 03H21 Comdty</stp>
        <stp>PX_SETTLE</stp>
        <stp>[Qwack - LMELookBackExample.xlsx]MetalCurves!R33C11</stp>
        <tr r="K33" s="1"/>
      </tp>
      <tp>
        <v>242.5</v>
        <stp/>
        <stp>##V3_BDPV12</stp>
        <stp>LMZSDS 03M21 Comdty</stp>
        <stp>PX_SETTLE</stp>
        <stp>[Qwack - LMELookBackExample.xlsx]MetalCurves!R36C11</stp>
        <tr r="K36" s="1"/>
      </tp>
      <tp>
        <v>251.5</v>
        <stp/>
        <stp>##V3_BDPV12</stp>
        <stp>LMZSDS 03N21 Comdty</stp>
        <stp>PX_SETTLE</stp>
        <stp>[Qwack - LMELookBackExample.xlsx]MetalCurves!R37C11</stp>
        <tr r="K37" s="1"/>
      </tp>
      <tp>
        <v>225.5</v>
        <stp/>
        <stp>##V3_BDPV12</stp>
        <stp>LMZSDS 03J21 Comdty</stp>
        <stp>PX_SETTLE</stp>
        <stp>[Qwack - LMELookBackExample.xlsx]MetalCurves!R34C11</stp>
        <tr r="K34" s="1"/>
      </tp>
      <tp>
        <v>234</v>
        <stp/>
        <stp>##V3_BDPV12</stp>
        <stp>LMZSDS 03K21 Comdty</stp>
        <stp>PX_SETTLE</stp>
        <stp>[Qwack - LMELookBackExample.xlsx]MetalCurves!R35C11</stp>
        <tr r="K35" s="1"/>
      </tp>
      <tp>
        <v>200</v>
        <stp/>
        <stp>##V3_BDPV12</stp>
        <stp>LMZSDS 03F21 Comdty</stp>
        <stp>PX_SETTLE</stp>
        <stp>[Qwack - LMELookBackExample.xlsx]MetalCurves!R31C11</stp>
        <tr r="K31" s="1"/>
      </tp>
      <tp>
        <v>208.5</v>
        <stp/>
        <stp>##V3_BDPV12</stp>
        <stp>LMZSDS 03G21 Comdty</stp>
        <stp>PX_SETTLE</stp>
        <stp>[Qwack - LMELookBackExample.xlsx]MetalCurves!R32C11</stp>
        <tr r="K32" s="1"/>
      </tp>
      <tp>
        <v>296.5</v>
        <stp/>
        <stp>##V3_BDPV12</stp>
        <stp>LMZSDS 03Z21 Comdty</stp>
        <stp>PX_SETTLE</stp>
        <stp>[Qwack - LMELookBackExample.xlsx]MetalCurves!R42C11</stp>
        <tr r="K42" s="1"/>
      </tp>
      <tp>
        <v>287.5</v>
        <stp/>
        <stp>##V3_BDPV12</stp>
        <stp>LMZSDS 03X21 Comdty</stp>
        <stp>PX_SETTLE</stp>
        <stp>[Qwack - LMELookBackExample.xlsx]MetalCurves!R41C11</stp>
        <tr r="K41" s="1"/>
      </tp>
      <tp>
        <v>278.5</v>
        <stp/>
        <stp>##V3_BDPV12</stp>
        <stp>LMZSDS 03V21 Comdty</stp>
        <stp>PX_SETTLE</stp>
        <stp>[Qwack - LMELookBackExample.xlsx]MetalCurves!R40C11</stp>
        <tr r="K40" s="1"/>
      </tp>
      <tp>
        <v>171.5</v>
        <stp/>
        <stp>##V3_BDPV12</stp>
        <stp>LMZSDS 03V20 Comdty</stp>
        <stp>PX_SETTLE</stp>
        <stp>[Qwack - LMELookBackExample.xlsx]MetalCurves!R28C11</stp>
        <tr r="K28" s="1"/>
      </tp>
      <tp>
        <v>161.5</v>
        <stp/>
        <stp>##V3_BDPV12</stp>
        <stp>LMZSDS 03U20 Comdty</stp>
        <stp>PX_SETTLE</stp>
        <stp>[Qwack - LMELookBackExample.xlsx]MetalCurves!R27C11</stp>
        <tr r="K27" s="1"/>
      </tp>
      <tp>
        <v>181.5</v>
        <stp/>
        <stp>##V3_BDPV12</stp>
        <stp>LMZSDS 03X20 Comdty</stp>
        <stp>PX_SETTLE</stp>
        <stp>[Qwack - LMELookBackExample.xlsx]MetalCurves!R29C11</stp>
        <tr r="K29" s="1"/>
      </tp>
      <tp>
        <v>151.5</v>
        <stp/>
        <stp>##V3_BDPV12</stp>
        <stp>LMZSDS 03Q20 Comdty</stp>
        <stp>PX_SETTLE</stp>
        <stp>[Qwack - LMELookBackExample.xlsx]MetalCurves!R26C11</stp>
        <tr r="K26" s="1"/>
      </tp>
      <tp>
        <v>141.5</v>
        <stp/>
        <stp>##V3_BDPV12</stp>
        <stp>LMZSDS 03N20 Comdty</stp>
        <stp>PX_SETTLE</stp>
        <stp>[Qwack - LMELookBackExample.xlsx]MetalCurves!R25C11</stp>
        <tr r="K25" s="1"/>
      </tp>
      <tp>
        <v>112.5</v>
        <stp/>
        <stp>##V3_BDPV12</stp>
        <stp>LMZSDS 03J20 Comdty</stp>
        <stp>PX_SETTLE</stp>
        <stp>[Qwack - LMELookBackExample.xlsx]MetalCurves!R22C11</stp>
        <tr r="K22" s="1"/>
      </tp>
      <tp>
        <v>122</v>
        <stp/>
        <stp>##V3_BDPV12</stp>
        <stp>LMZSDS 03K20 Comdty</stp>
        <stp>PX_SETTLE</stp>
        <stp>[Qwack - LMELookBackExample.xlsx]MetalCurves!R23C11</stp>
        <tr r="K23" s="1"/>
      </tp>
      <tp>
        <v>103.5</v>
        <stp/>
        <stp>##V3_BDPV12</stp>
        <stp>LMZSDS 03H20 Comdty</stp>
        <stp>PX_SETTLE</stp>
        <stp>[Qwack - LMELookBackExample.xlsx]MetalCurves!R21C11</stp>
        <tr r="K21" s="1"/>
      </tp>
      <tp>
        <v>131.5</v>
        <stp/>
        <stp>##V3_BDPV12</stp>
        <stp>LMZSDS 03M20 Comdty</stp>
        <stp>PX_SETTLE</stp>
        <stp>[Qwack - LMELookBackExample.xlsx]MetalCurves!R24C11</stp>
        <tr r="K24" s="1"/>
      </tp>
      <tp>
        <v>94.5</v>
        <stp/>
        <stp>##V3_BDPV12</stp>
        <stp>LMZSDS 03G20 Comdty</stp>
        <stp>PX_SETTLE</stp>
        <stp>[Qwack - LMELookBackExample.xlsx]MetalCurves!R20C11</stp>
        <tr r="K20" s="1"/>
      </tp>
      <tp>
        <v>191.5</v>
        <stp/>
        <stp>##V3_BDPV12</stp>
        <stp>LMZSDS 03Z20 Comdty</stp>
        <stp>PX_SETTLE</stp>
        <stp>[Qwack - LMELookBackExample.xlsx]MetalCurves!R30C11</stp>
        <tr r="K30" s="1"/>
      </tp>
      <tp>
        <v>85.5</v>
        <stp/>
        <stp>##V3_BDPV12</stp>
        <stp>LMZSDS 03F20 Comdty</stp>
        <stp>PX_SETTLE</stp>
        <stp>[Qwack - LMELookBackExample.xlsx]MetalCurves!R19C11</stp>
        <tr r="K19" s="1"/>
      </tp>
      <tp>
        <v>18.509988784790039</v>
        <stp/>
        <stp>##V3_BDPV12</stp>
        <stp>LA MAY19 50D VOL LME Comdty</stp>
        <stp>PX_LAST</stp>
        <stp>[Qwack - LMELookBackExample.xlsx]MetalCurves!R9C27</stp>
        <tr r="AA9" s="1"/>
      </tp>
      <tp>
        <v>18.289995193481445</v>
        <stp/>
        <stp>##V3_BDPV12</stp>
        <stp>LA MAR19 50D VOL LME Comdty</stp>
        <stp>PX_LAST</stp>
        <stp>[Qwack - LMELookBackExample.xlsx]MetalCurves!R7C27</stp>
        <tr r="AA7" s="1"/>
      </tp>
      <tp>
        <v>26.049966812133789</v>
        <stp/>
        <stp>##V3_BDPV12</stp>
        <stp>LN MAR19 50D VOL LME Comdty</stp>
        <stp>PX_LAST</stp>
        <stp>[Qwack - LMELookBackExample.xlsx]MetalCurves!R7C36</stp>
        <tr r="AJ7" s="1"/>
      </tp>
      <tp>
        <v>27.529947280883789</v>
        <stp/>
        <stp>##V3_BDPV12</stp>
        <stp>LN MAY19 50D VOL LME Comdty</stp>
        <stp>PX_LAST</stp>
        <stp>[Qwack - LMELookBackExample.xlsx]MetalCurves!R9C36</stp>
        <tr r="AJ9" s="1"/>
      </tp>
      <tp>
        <v>18.230014801025391</v>
        <stp/>
        <stp>##V3_BDPV12</stp>
        <stp>LP MAY19 50D VOL LME Comdty</stp>
        <stp>PX_LAST</stp>
        <stp>[Qwack - LMELookBackExample.xlsx]MetalCurves!R9C32</stp>
        <tr r="AF9" s="1"/>
      </tp>
      <tp>
        <v>24.010007858276367</v>
        <stp/>
        <stp>##V3_BDPV12</stp>
        <stp>LX MAR19 50D VOL LME Comdty</stp>
        <stp>PX_LAST</stp>
        <stp>[Qwack - LMELookBackExample.xlsx]MetalCurves!R7C35</stp>
        <tr r="AI7" s="1"/>
      </tp>
      <tp>
        <v>17.030010223388672</v>
        <stp/>
        <stp>##V3_BDPV12</stp>
        <stp>LP MAR19 50D VOL LME Comdty</stp>
        <stp>PX_LAST</stp>
        <stp>[Qwack - LMELookBackExample.xlsx]MetalCurves!R7C32</stp>
        <tr r="AF7" s="1"/>
      </tp>
      <tp>
        <v>24.250015258789063</v>
        <stp/>
        <stp>##V3_BDPV12</stp>
        <stp>LX MAY19 50D VOL LME Comdty</stp>
        <stp>PX_LAST</stp>
        <stp>[Qwack - LMELookBackExample.xlsx]MetalCurves!R9C35</stp>
        <tr r="AI9" s="1"/>
      </tp>
      <tp>
        <v>2.8574999999999999</v>
        <stp/>
        <stp>##V3_BDPV12</stp>
        <stp>XAUUSD10B18m Comdty</stp>
        <stp>PX_LAST</stp>
        <stp>[Qwack - LMELookBackExample.xlsx]MetalCurves!R71C11</stp>
        <tr r="K71" s="1"/>
      </tp>
      <tp>
        <v>1.0075000000000001</v>
        <stp/>
        <stp>##V3_BDPV12</stp>
        <stp>XAUUSD25B18m Comdty</stp>
        <stp>PX_LAST</stp>
        <stp>[Qwack - LMELookBackExample.xlsx]MetalCurves!R71C10</stp>
        <tr r="J71" s="1"/>
      </tp>
      <tp>
        <v>4.1574999999999998</v>
        <stp/>
        <stp>##V3_BDPV12</stp>
        <stp>XPDUSD10B18m Comdty</stp>
        <stp>PX_LAST</stp>
        <stp>[Qwack - LMELookBackExample.xlsx]MetalCurves!R71C19</stp>
        <tr r="S71" s="1"/>
      </tp>
      <tp>
        <v>1.5425</v>
        <stp/>
        <stp>##V3_BDPV12</stp>
        <stp>XPDUSD25B18m Comdty</stp>
        <stp>PX_LAST</stp>
        <stp>[Qwack - LMELookBackExample.xlsx]MetalCurves!R71C18</stp>
        <tr r="R71" s="1"/>
      </tp>
      <tp>
        <v>27.009958267211914</v>
        <stp/>
        <stp>##V3_BDPV12</stp>
        <stp>LN APR19 50D VOL LME Comdty</stp>
        <stp>PX_LAST</stp>
        <stp>[Qwack - LMELookBackExample.xlsx]MetalCurves!R8C36</stp>
        <tr r="AJ8" s="1"/>
      </tp>
      <tp>
        <v>24.110012054443359</v>
        <stp/>
        <stp>##V3_BDPV12</stp>
        <stp>LX APR19 50D VOL LME Comdty</stp>
        <stp>PX_LAST</stp>
        <stp>[Qwack - LMELookBackExample.xlsx]MetalCurves!R8C35</stp>
        <tr r="AI8" s="1"/>
      </tp>
      <tp>
        <v>17.880012512207031</v>
        <stp/>
        <stp>##V3_BDPV12</stp>
        <stp>LP APR19 50D VOL LME Comdty</stp>
        <stp>PX_LAST</stp>
        <stp>[Qwack - LMELookBackExample.xlsx]MetalCurves!R8C32</stp>
        <tr r="AF8" s="1"/>
      </tp>
      <tp>
        <v>18.529993057250977</v>
        <stp/>
        <stp>##V3_BDPV12</stp>
        <stp>LA APR19 50D VOL LME Comdty</stp>
        <stp>PX_LAST</stp>
        <stp>[Qwack - LMELookBackExample.xlsx]MetalCurves!R8C27</stp>
        <tr r="AA8" s="1"/>
      </tp>
      <tp>
        <v>18.369508743286133</v>
        <stp/>
        <stp>##V3_BDPV12</stp>
        <stp>LP FEB19 10DP VOL LME Comdty</stp>
        <stp>PX_LAST</stp>
        <stp>[Qwack - LMELookBackExample.xlsx]MetalCurves!R6C30</stp>
        <tr r="AD6" s="1"/>
      </tp>
      <tp>
        <v>17.369548797607422</v>
        <stp/>
        <stp>##V3_BDPV12</stp>
        <stp>LP FEB19 25DP VOL LME Comdty</stp>
        <stp>PX_LAST</stp>
        <stp>[Qwack - LMELookBackExample.xlsx]MetalCurves!R6C31</stp>
        <tr r="AE6" s="1"/>
      </tp>
      <tp>
        <v>18.849655151367188</v>
        <stp/>
        <stp>##V3_BDPV12</stp>
        <stp>LA FEB19 10DP VOL LME Comdty</stp>
        <stp>PX_LAST</stp>
        <stp>[Qwack - LMELookBackExample.xlsx]MetalCurves!R6C25</stp>
        <tr r="Y6" s="1"/>
      </tp>
      <tp>
        <v>18.209793090820313</v>
        <stp/>
        <stp>##V3_BDPV12</stp>
        <stp>LA FEB19 25DP VOL LME Comdty</stp>
        <stp>PX_LAST</stp>
        <stp>[Qwack - LMELookBackExample.xlsx]MetalCurves!R6C26</stp>
        <tr r="Z6" s="1"/>
      </tp>
      <tp>
        <v>18.659835815429688</v>
        <stp/>
        <stp>##V3_BDPV12</stp>
        <stp>LA MAY19 25DP VOL LME Comdty</stp>
        <stp>PX_LAST</stp>
        <stp>[Qwack - LMELookBackExample.xlsx]MetalCurves!R9C26</stp>
        <tr r="Z9" s="1"/>
      </tp>
      <tp>
        <v>19.249677658081055</v>
        <stp/>
        <stp>##V3_BDPV12</stp>
        <stp>LA MAY19 10DP VOL LME Comdty</stp>
        <stp>PX_LAST</stp>
        <stp>[Qwack - LMELookBackExample.xlsx]MetalCurves!R9C25</stp>
        <tr r="Y9" s="1"/>
      </tp>
      <tp>
        <v>19.03968620300293</v>
        <stp/>
        <stp>##V3_BDPV12</stp>
        <stp>LA MAR19 10DP VOL LME Comdty</stp>
        <stp>PX_LAST</stp>
        <stp>[Qwack - LMELookBackExample.xlsx]MetalCurves!R7C25</stp>
        <tr r="Y7" s="1"/>
      </tp>
      <tp>
        <v>18.489826202392578</v>
        <stp/>
        <stp>##V3_BDPV12</stp>
        <stp>LA MAR19 25DP VOL LME Comdty</stp>
        <stp>PX_LAST</stp>
        <stp>[Qwack - LMELookBackExample.xlsx]MetalCurves!R7C26</stp>
        <tr r="Z7" s="1"/>
      </tp>
      <tp>
        <v>19.349563598632813</v>
        <stp/>
        <stp>##V3_BDPV12</stp>
        <stp>LP MAY19 25DP VOL LME Comdty</stp>
        <stp>PX_LAST</stp>
        <stp>[Qwack - LMELookBackExample.xlsx]MetalCurves!R9C31</stp>
        <tr r="AE9" s="1"/>
      </tp>
      <tp>
        <v>20.439479827880859</v>
        <stp/>
        <stp>##V3_BDPV12</stp>
        <stp>LP MAY19 10DP VOL LME Comdty</stp>
        <stp>PX_LAST</stp>
        <stp>[Qwack - LMELookBackExample.xlsx]MetalCurves!R9C30</stp>
        <tr r="AD9" s="1"/>
      </tp>
      <tp>
        <v>19.149490356445313</v>
        <stp/>
        <stp>##V3_BDPV12</stp>
        <stp>LP MAR19 10DP VOL LME Comdty</stp>
        <stp>PX_LAST</stp>
        <stp>[Qwack - LMELookBackExample.xlsx]MetalCurves!R7C30</stp>
        <tr r="AD7" s="1"/>
      </tp>
      <tp>
        <v>18.039556503295898</v>
        <stp/>
        <stp>##V3_BDPV12</stp>
        <stp>LP MAR19 25DP VOL LME Comdty</stp>
        <stp>PX_LAST</stp>
        <stp>[Qwack - LMELookBackExample.xlsx]MetalCurves!R7C31</stp>
        <tr r="AE7" s="1"/>
      </tp>
      <tp>
        <v>17.94999885559082</v>
        <stp/>
        <stp>##V3_BDPV12</stp>
        <stp>LA FEB19 50D VOL LME Comdty</stp>
        <stp>PX_LAST</stp>
        <stp>[Qwack - LMELookBackExample.xlsx]MetalCurves!R6C27</stp>
        <tr r="AA6" s="1"/>
      </tp>
      <tp>
        <v>23.570003509521484</v>
        <stp/>
        <stp>##V3_BDPV12</stp>
        <stp>LX FEB19 50D VOL LME Comdty</stp>
        <stp>PX_LAST</stp>
        <stp>[Qwack - LMELookBackExample.xlsx]MetalCurves!R6C35</stp>
        <tr r="AI6" s="1"/>
      </tp>
      <tp>
        <v>16.290006637573242</v>
        <stp/>
        <stp>##V3_BDPV12</stp>
        <stp>LP FEB19 50D VOL LME Comdty</stp>
        <stp>PX_LAST</stp>
        <stp>[Qwack - LMELookBackExample.xlsx]MetalCurves!R6C32</stp>
        <tr r="AF6" s="1"/>
      </tp>
      <tp>
        <v>24.459980010986328</v>
        <stp/>
        <stp>##V3_BDPV12</stp>
        <stp>LN FEB19 50D VOL LME Comdty</stp>
        <stp>PX_LAST</stp>
        <stp>[Qwack - LMELookBackExample.xlsx]MetalCurves!R6C36</stp>
        <tr r="AJ6" s="1"/>
      </tp>
      <tp>
        <v>20.45933723449707</v>
        <stp/>
        <stp>##V3_BDPV12</stp>
        <stp>LA APR19 10DC VOL LME Comdty</stp>
        <stp>PX_LAST</stp>
        <stp>[Qwack - LMELookBackExample.xlsx]MetalCurves!R8C29</stp>
        <tr r="AC8" s="1"/>
      </tp>
      <tp>
        <v>19.249479293823242</v>
        <stp/>
        <stp>##V3_BDPV12</stp>
        <stp>LA APR19 25DC VOL LME Comdty</stp>
        <stp>PX_LAST</stp>
        <stp>[Qwack - LMELookBackExample.xlsx]MetalCurves!R8C28</stp>
        <tr r="AB8" s="1"/>
      </tp>
      <tp>
        <v>18.899654388427734</v>
        <stp/>
        <stp>##V3_BDPV12</stp>
        <stp>LP APR19 10DC VOL LME Comdty</stp>
        <stp>PX_LAST</stp>
        <stp>[Qwack - LMELookBackExample.xlsx]MetalCurves!R8C34</stp>
        <tr r="AH8" s="1"/>
      </tp>
      <tp>
        <v>18.279697418212891</v>
        <stp/>
        <stp>##V3_BDPV12</stp>
        <stp>LP APR19 25DC VOL LME Comdty</stp>
        <stp>PX_LAST</stp>
        <stp>[Qwack - LMELookBackExample.xlsx]MetalCurves!R8C33</stp>
        <tr r="AG8" s="1"/>
      </tp>
      <tp>
        <v>28.62</v>
        <stp/>
        <stp>##V3_BDPV12</stp>
        <stp>XPDUSDV18m Comdty</stp>
        <stp>PX_LAST</stp>
        <stp>[Qwack - LMELookBackExample.xlsx]MetalCurves!R71C15</stp>
        <tr r="O71" s="1"/>
      </tp>
      <tp>
        <v>-190</v>
        <stp/>
        <stp>##V3_BDPV12</stp>
        <stp>LMNIDS 03X19 Comdty</stp>
        <stp>PX_SETTLE</stp>
        <stp>[Qwack - LMELookBackExample.xlsx]MetalCurves!R17C14</stp>
        <tr r="N17" s="1"/>
      </tp>
      <tp>
        <v>-215</v>
        <stp/>
        <stp>##V3_BDPV12</stp>
        <stp>LMNIDS 03Z19 Comdty</stp>
        <stp>PX_SETTLE</stp>
        <stp>[Qwack - LMELookBackExample.xlsx]MetalCurves!R18C14</stp>
        <tr r="N18" s="1"/>
      </tp>
      <tp>
        <v>-134</v>
        <stp/>
        <stp>##V3_BDPV12</stp>
        <stp>LMNIDS 03U19 Comdty</stp>
        <stp>PX_SETTLE</stp>
        <stp>[Qwack - LMELookBackExample.xlsx]MetalCurves!R15C14</stp>
        <tr r="N15" s="1"/>
      </tp>
      <tp>
        <v>-159</v>
        <stp/>
        <stp>##V3_BDPV12</stp>
        <stp>LMNIDS 03V19 Comdty</stp>
        <stp>PX_SETTLE</stp>
        <stp>[Qwack - LMELookBackExample.xlsx]MetalCurves!R16C14</stp>
        <tr r="N16" s="1"/>
      </tp>
      <tp>
        <v>-108</v>
        <stp/>
        <stp>##V3_BDPV12</stp>
        <stp>LMNIDS 03Q19 Comdty</stp>
        <stp>PX_SETTLE</stp>
        <stp>[Qwack - LMELookBackExample.xlsx]MetalCurves!R14C14</stp>
        <tr r="N14" s="1"/>
      </tp>
      <tp>
        <v>-24</v>
        <stp/>
        <stp>##V3_BDPV12</stp>
        <stp>LMNIDS 03K19 Comdty</stp>
        <stp>PX_SETTLE</stp>
        <stp>[Qwack - LMELookBackExample.xlsx]MetalCurves!R11C14</stp>
        <tr r="N11" s="1"/>
      </tp>
      <tp>
        <v>-54</v>
        <stp/>
        <stp>##V3_BDPV12</stp>
        <stp>LMNIDS 03M19 Comdty</stp>
        <stp>PX_SETTLE</stp>
        <stp>[Qwack - LMELookBackExample.xlsx]MetalCurves!R12C14</stp>
        <tr r="N12" s="1"/>
      </tp>
      <tp>
        <v>-77</v>
        <stp/>
        <stp>##V3_BDPV12</stp>
        <stp>LMNIDS 03N19 Comdty</stp>
        <stp>PX_SETTLE</stp>
        <stp>[Qwack - LMELookBackExample.xlsx]MetalCurves!R13C14</stp>
        <tr r="N13" s="1"/>
      </tp>
      <tp>
        <v>7</v>
        <stp/>
        <stp>##V3_BDPV12</stp>
        <stp>XPDUSD25R18m Comdty</stp>
        <stp>PX_LAST</stp>
        <stp>[Qwack - LMELookBackExample.xlsx]MetalCurves!R71C16</stp>
        <tr r="P71" s="1"/>
      </tp>
      <tp>
        <v>14.6325</v>
        <stp/>
        <stp>##V3_BDPV12</stp>
        <stp>XPDUSD10R18m Comdty</stp>
        <stp>PX_LAST</stp>
        <stp>[Qwack - LMELookBackExample.xlsx]MetalCurves!R71C17</stp>
        <tr r="Q71" s="1"/>
      </tp>
      <tp>
        <v>-755</v>
        <stp/>
        <stp>##V3_BDPV12</stp>
        <stp>LMNIDS 03Z21 Comdty</stp>
        <stp>PX_SETTLE</stp>
        <stp>[Qwack - LMELookBackExample.xlsx]MetalCurves!R42C14</stp>
        <tr r="N42" s="1"/>
      </tp>
      <tp>
        <v>-733</v>
        <stp/>
        <stp>##V3_BDPV12</stp>
        <stp>LMNIDS 03X21 Comdty</stp>
        <stp>PX_SETTLE</stp>
        <stp>[Qwack - LMELookBackExample.xlsx]MetalCurves!R41C14</stp>
        <tr r="N41" s="1"/>
      </tp>
      <tp>
        <v>-710</v>
        <stp/>
        <stp>##V3_BDPV12</stp>
        <stp>LMNIDS 03V21 Comdty</stp>
        <stp>PX_SETTLE</stp>
        <stp>[Qwack - LMELookBackExample.xlsx]MetalCurves!R40C14</stp>
        <tr r="N40" s="1"/>
      </tp>
      <tp>
        <v>-664</v>
        <stp/>
        <stp>##V3_BDPV12</stp>
        <stp>LMNIDS 03Q21 Comdty</stp>
        <stp>PX_SETTLE</stp>
        <stp>[Qwack - LMELookBackExample.xlsx]MetalCurves!R38C14</stp>
        <tr r="N38" s="1"/>
      </tp>
      <tp>
        <v>-687</v>
        <stp/>
        <stp>##V3_BDPV12</stp>
        <stp>LMNIDS 03U21 Comdty</stp>
        <stp>PX_SETTLE</stp>
        <stp>[Qwack - LMELookBackExample.xlsx]MetalCurves!R39C14</stp>
        <tr r="N39" s="1"/>
      </tp>
      <tp>
        <v>-549</v>
        <stp/>
        <stp>##V3_BDPV12</stp>
        <stp>LMNIDS 03H21 Comdty</stp>
        <stp>PX_SETTLE</stp>
        <stp>[Qwack - LMELookBackExample.xlsx]MetalCurves!R33C14</stp>
        <tr r="N33" s="1"/>
      </tp>
      <tp>
        <v>-618</v>
        <stp/>
        <stp>##V3_BDPV12</stp>
        <stp>LMNIDS 03M21 Comdty</stp>
        <stp>PX_SETTLE</stp>
        <stp>[Qwack - LMELookBackExample.xlsx]MetalCurves!R36C14</stp>
        <tr r="N36" s="1"/>
      </tp>
      <tp>
        <v>-641</v>
        <stp/>
        <stp>##V3_BDPV12</stp>
        <stp>LMNIDS 03N21 Comdty</stp>
        <stp>PX_SETTLE</stp>
        <stp>[Qwack - LMELookBackExample.xlsx]MetalCurves!R37C14</stp>
        <tr r="N37" s="1"/>
      </tp>
      <tp>
        <v>-572</v>
        <stp/>
        <stp>##V3_BDPV12</stp>
        <stp>LMNIDS 03J21 Comdty</stp>
        <stp>PX_SETTLE</stp>
        <stp>[Qwack - LMELookBackExample.xlsx]MetalCurves!R34C14</stp>
        <tr r="N34" s="1"/>
      </tp>
      <tp>
        <v>-595</v>
        <stp/>
        <stp>##V3_BDPV12</stp>
        <stp>LMNIDS 03K21 Comdty</stp>
        <stp>PX_SETTLE</stp>
        <stp>[Qwack - LMELookBackExample.xlsx]MetalCurves!R35C14</stp>
        <tr r="N35" s="1"/>
      </tp>
      <tp>
        <v>-503</v>
        <stp/>
        <stp>##V3_BDPV12</stp>
        <stp>LMNIDS 03F21 Comdty</stp>
        <stp>PX_SETTLE</stp>
        <stp>[Qwack - LMELookBackExample.xlsx]MetalCurves!R31C14</stp>
        <tr r="N31" s="1"/>
      </tp>
      <tp>
        <v>-526</v>
        <stp/>
        <stp>##V3_BDPV12</stp>
        <stp>LMNIDS 03G21 Comdty</stp>
        <stp>PX_SETTLE</stp>
        <stp>[Qwack - LMELookBackExample.xlsx]MetalCurves!R32C14</stp>
        <tr r="N32" s="1"/>
      </tp>
      <tp>
        <v>-480</v>
        <stp/>
        <stp>##V3_BDPV12</stp>
        <stp>LMNIDS 03Z20 Comdty</stp>
        <stp>PX_SETTLE</stp>
        <stp>[Qwack - LMELookBackExample.xlsx]MetalCurves!R30C14</stp>
        <tr r="N30" s="1"/>
      </tp>
      <tp>
        <v>-436</v>
        <stp/>
        <stp>##V3_BDPV12</stp>
        <stp>LMNIDS 03V20 Comdty</stp>
        <stp>PX_SETTLE</stp>
        <stp>[Qwack - LMELookBackExample.xlsx]MetalCurves!R28C14</stp>
        <tr r="N28" s="1"/>
      </tp>
      <tp>
        <v>-414</v>
        <stp/>
        <stp>##V3_BDPV12</stp>
        <stp>LMNIDS 03U20 Comdty</stp>
        <stp>PX_SETTLE</stp>
        <stp>[Qwack - LMELookBackExample.xlsx]MetalCurves!R27C14</stp>
        <tr r="N27" s="1"/>
      </tp>
      <tp>
        <v>-458</v>
        <stp/>
        <stp>##V3_BDPV12</stp>
        <stp>LMNIDS 03X20 Comdty</stp>
        <stp>PX_SETTLE</stp>
        <stp>[Qwack - LMELookBackExample.xlsx]MetalCurves!R29C14</stp>
        <tr r="N29" s="1"/>
      </tp>
      <tp>
        <v>-392</v>
        <stp/>
        <stp>##V3_BDPV12</stp>
        <stp>LMNIDS 03Q20 Comdty</stp>
        <stp>PX_SETTLE</stp>
        <stp>[Qwack - LMELookBackExample.xlsx]MetalCurves!R26C14</stp>
        <tr r="N26" s="1"/>
      </tp>
      <tp>
        <v>-370</v>
        <stp/>
        <stp>##V3_BDPV12</stp>
        <stp>LMNIDS 03N20 Comdty</stp>
        <stp>PX_SETTLE</stp>
        <stp>[Qwack - LMELookBackExample.xlsx]MetalCurves!R25C14</stp>
        <tr r="N25" s="1"/>
      </tp>
      <tp>
        <v>-304</v>
        <stp/>
        <stp>##V3_BDPV12</stp>
        <stp>LMNIDS 03J20 Comdty</stp>
        <stp>PX_SETTLE</stp>
        <stp>[Qwack - LMELookBackExample.xlsx]MetalCurves!R22C14</stp>
        <tr r="N22" s="1"/>
      </tp>
      <tp>
        <v>-326</v>
        <stp/>
        <stp>##V3_BDPV12</stp>
        <stp>LMNIDS 03K20 Comdty</stp>
        <stp>PX_SETTLE</stp>
        <stp>[Qwack - LMELookBackExample.xlsx]MetalCurves!R23C14</stp>
        <tr r="N23" s="1"/>
      </tp>
      <tp>
        <v>-282</v>
        <stp/>
        <stp>##V3_BDPV12</stp>
        <stp>LMNIDS 03H20 Comdty</stp>
        <stp>PX_SETTLE</stp>
        <stp>[Qwack - LMELookBackExample.xlsx]MetalCurves!R21C14</stp>
        <tr r="N21" s="1"/>
      </tp>
      <tp>
        <v>-348</v>
        <stp/>
        <stp>##V3_BDPV12</stp>
        <stp>LMNIDS 03M20 Comdty</stp>
        <stp>PX_SETTLE</stp>
        <stp>[Qwack - LMELookBackExample.xlsx]MetalCurves!R24C14</stp>
        <tr r="N24" s="1"/>
      </tp>
      <tp>
        <v>-260</v>
        <stp/>
        <stp>##V3_BDPV12</stp>
        <stp>LMNIDS 03G20 Comdty</stp>
        <stp>PX_SETTLE</stp>
        <stp>[Qwack - LMELookBackExample.xlsx]MetalCurves!R20C14</stp>
        <tr r="N20" s="1"/>
      </tp>
      <tp>
        <v>-238</v>
        <stp/>
        <stp>##V3_BDPV12</stp>
        <stp>LMNIDS 03F20 Comdty</stp>
        <stp>PX_SETTLE</stp>
        <stp>[Qwack - LMELookBackExample.xlsx]MetalCurves!R19C14</stp>
        <tr r="N19" s="1"/>
      </tp>
      <tp>
        <v>-1102</v>
        <stp/>
        <stp>##V3_BDPV12</stp>
        <stp>LMNIDS 03H23 Comdty</stp>
        <stp>PX_SETTLE</stp>
        <stp>[Qwack - LMELookBackExample.xlsx]MetalCurves!R57C14</stp>
        <tr r="N57" s="1"/>
      </tp>
      <tp>
        <v>-1126</v>
        <stp/>
        <stp>##V3_BDPV12</stp>
        <stp>LMNIDS 03J23 Comdty</stp>
        <stp>PX_SETTLE</stp>
        <stp>[Qwack - LMELookBackExample.xlsx]MetalCurves!R58C14</stp>
        <tr r="N58" s="1"/>
      </tp>
      <tp>
        <v>-1150</v>
        <stp/>
        <stp>##V3_BDPV12</stp>
        <stp>LMNIDS 03K23 Comdty</stp>
        <stp>PX_SETTLE</stp>
        <stp>[Qwack - LMELookBackExample.xlsx]MetalCurves!R59C14</stp>
        <tr r="N59" s="1"/>
      </tp>
      <tp>
        <v>-1054</v>
        <stp/>
        <stp>##V3_BDPV12</stp>
        <stp>LMNIDS 03F23 Comdty</stp>
        <stp>PX_SETTLE</stp>
        <stp>[Qwack - LMELookBackExample.xlsx]MetalCurves!R55C14</stp>
        <tr r="N55" s="1"/>
      </tp>
      <tp>
        <v>-1078</v>
        <stp/>
        <stp>##V3_BDPV12</stp>
        <stp>LMNIDS 03G23 Comdty</stp>
        <stp>PX_SETTLE</stp>
        <stp>[Qwack - LMELookBackExample.xlsx]MetalCurves!R56C14</stp>
        <tr r="N56" s="1"/>
      </tp>
      <tp>
        <v>-1008</v>
        <stp/>
        <stp>##V3_BDPV12</stp>
        <stp>LMNIDS 03X22 Comdty</stp>
        <stp>PX_SETTLE</stp>
        <stp>[Qwack - LMELookBackExample.xlsx]MetalCurves!R53C14</stp>
        <tr r="N53" s="1"/>
      </tp>
      <tp>
        <v>-1030</v>
        <stp/>
        <stp>##V3_BDPV12</stp>
        <stp>LMNIDS 03Z22 Comdty</stp>
        <stp>PX_SETTLE</stp>
        <stp>[Qwack - LMELookBackExample.xlsx]MetalCurves!R54C14</stp>
        <tr r="N54" s="1"/>
      </tp>
      <tp>
        <v>-939</v>
        <stp/>
        <stp>##V3_BDPV12</stp>
        <stp>LMNIDS 03Q22 Comdty</stp>
        <stp>PX_SETTLE</stp>
        <stp>[Qwack - LMELookBackExample.xlsx]MetalCurves!R50C14</stp>
        <tr r="N50" s="1"/>
      </tp>
      <tp>
        <v>-962</v>
        <stp/>
        <stp>##V3_BDPV12</stp>
        <stp>LMNIDS 03U22 Comdty</stp>
        <stp>PX_SETTLE</stp>
        <stp>[Qwack - LMELookBackExample.xlsx]MetalCurves!R51C14</stp>
        <tr r="N51" s="1"/>
      </tp>
      <tp>
        <v>-985</v>
        <stp/>
        <stp>##V3_BDPV12</stp>
        <stp>LMNIDS 03V22 Comdty</stp>
        <stp>PX_SETTLE</stp>
        <stp>[Qwack - LMELookBackExample.xlsx]MetalCurves!R52C14</stp>
        <tr r="N52" s="1"/>
      </tp>
      <tp>
        <v>-847</v>
        <stp/>
        <stp>##V3_BDPV12</stp>
        <stp>LMNIDS 03J22 Comdty</stp>
        <stp>PX_SETTLE</stp>
        <stp>[Qwack - LMELookBackExample.xlsx]MetalCurves!R46C14</stp>
        <tr r="N46" s="1"/>
      </tp>
      <tp>
        <v>-870</v>
        <stp/>
        <stp>##V3_BDPV12</stp>
        <stp>LMNIDS 03K22 Comdty</stp>
        <stp>PX_SETTLE</stp>
        <stp>[Qwack - LMELookBackExample.xlsx]MetalCurves!R47C14</stp>
        <tr r="N47" s="1"/>
      </tp>
      <tp>
        <v>-824</v>
        <stp/>
        <stp>##V3_BDPV12</stp>
        <stp>LMNIDS 03H22 Comdty</stp>
        <stp>PX_SETTLE</stp>
        <stp>[Qwack - LMELookBackExample.xlsx]MetalCurves!R45C14</stp>
        <tr r="N45" s="1"/>
      </tp>
      <tp>
        <v>-801</v>
        <stp/>
        <stp>##V3_BDPV12</stp>
        <stp>LMNIDS 03G22 Comdty</stp>
        <stp>PX_SETTLE</stp>
        <stp>[Qwack - LMELookBackExample.xlsx]MetalCurves!R44C14</stp>
        <tr r="N44" s="1"/>
      </tp>
      <tp>
        <v>-916</v>
        <stp/>
        <stp>##V3_BDPV12</stp>
        <stp>LMNIDS 03N22 Comdty</stp>
        <stp>PX_SETTLE</stp>
        <stp>[Qwack - LMELookBackExample.xlsx]MetalCurves!R49C14</stp>
        <tr r="N49" s="1"/>
      </tp>
      <tp>
        <v>-778</v>
        <stp/>
        <stp>##V3_BDPV12</stp>
        <stp>LMNIDS 03F22 Comdty</stp>
        <stp>PX_SETTLE</stp>
        <stp>[Qwack - LMELookBackExample.xlsx]MetalCurves!R43C14</stp>
        <tr r="N43" s="1"/>
      </tp>
      <tp>
        <v>-893</v>
        <stp/>
        <stp>##V3_BDPV12</stp>
        <stp>LMNIDS 03M22 Comdty</stp>
        <stp>PX_SETTLE</stp>
        <stp>[Qwack - LMELookBackExample.xlsx]MetalCurves!R48C14</stp>
        <tr r="N48" s="1"/>
      </tp>
      <tp>
        <v>17.252500000000001</v>
        <stp/>
        <stp>##V3_BDPV12</stp>
        <stp>USDZARV1y Curncy</stp>
        <stp>PX_MID</stp>
        <stp>[Qwack - LMELookBackExample.xlsx]FundingFx!R10C13</stp>
        <tr r="M10" s="2"/>
      </tp>
      <tp>
        <v>17.877500000000001</v>
        <stp/>
        <stp>##V3_BDPV12</stp>
        <stp>USDZARV2y Curncy</stp>
        <stp>PX_MID</stp>
        <stp>[Qwack - LMELookBackExample.xlsx]FundingFx!R12C13</stp>
        <tr r="M12" s="2"/>
      </tp>
      <tp>
        <v>18.607500000000002</v>
        <stp/>
        <stp>##V3_BDPV12</stp>
        <stp>USDZARV3y Curncy</stp>
        <stp>PX_MID</stp>
        <stp>[Qwack - LMELookBackExample.xlsx]FundingFx!R13C13</stp>
        <tr r="M13" s="2"/>
      </tp>
      <tp>
        <v>20.535</v>
        <stp/>
        <stp>##V3_BDPV12</stp>
        <stp>USDZARV5y Curncy</stp>
        <stp>PX_MID</stp>
        <stp>[Qwack - LMELookBackExample.xlsx]FundingFx!R14C13</stp>
        <tr r="M14" s="2"/>
      </tp>
      <tp>
        <v>17.409645080566406</v>
        <stp/>
        <stp>##V3_BDPV12</stp>
        <stp>LP FEB19 10DC VOL LME Comdty</stp>
        <stp>PX_LAST</stp>
        <stp>[Qwack - LMELookBackExample.xlsx]MetalCurves!R6C34</stp>
        <tr r="AH6" s="1"/>
      </tp>
      <tp>
        <v>16.779697418212891</v>
        <stp/>
        <stp>##V3_BDPV12</stp>
        <stp>LP FEB19 25DC VOL LME Comdty</stp>
        <stp>PX_LAST</stp>
        <stp>[Qwack - LMELookBackExample.xlsx]MetalCurves!R6C33</stp>
        <tr r="AG6" s="1"/>
      </tp>
      <tp>
        <v>19.789344787597656</v>
        <stp/>
        <stp>##V3_BDPV12</stp>
        <stp>LA FEB19 10DC VOL LME Comdty</stp>
        <stp>PX_LAST</stp>
        <stp>[Qwack - LMELookBackExample.xlsx]MetalCurves!R6C29</stp>
        <tr r="AC6" s="1"/>
      </tp>
      <tp>
        <v>18.589532852172852</v>
        <stp/>
        <stp>##V3_BDPV12</stp>
        <stp>LA FEB19 25DC VOL LME Comdty</stp>
        <stp>PX_LAST</stp>
        <stp>[Qwack - LMELookBackExample.xlsx]MetalCurves!R6C28</stp>
        <tr r="AB6" s="1"/>
      </tp>
      <tp>
        <v>19.30967903137207</v>
        <stp/>
        <stp>##V3_BDPV12</stp>
        <stp>LA APR19 10DP VOL LME Comdty</stp>
        <stp>PX_LAST</stp>
        <stp>[Qwack - LMELookBackExample.xlsx]MetalCurves!R8C25</stp>
        <tr r="Y8" s="1"/>
      </tp>
      <tp>
        <v>18.729827880859375</v>
        <stp/>
        <stp>##V3_BDPV12</stp>
        <stp>LA APR19 25DP VOL LME Comdty</stp>
        <stp>PX_LAST</stp>
        <stp>[Qwack - LMELookBackExample.xlsx]MetalCurves!R8C26</stp>
        <tr r="Z8" s="1"/>
      </tp>
      <tp>
        <v>19.999490737915039</v>
        <stp/>
        <stp>##V3_BDPV12</stp>
        <stp>LP APR19 10DP VOL LME Comdty</stp>
        <stp>PX_LAST</stp>
        <stp>[Qwack - LMELookBackExample.xlsx]MetalCurves!R8C30</stp>
        <tr r="AD8" s="1"/>
      </tp>
      <tp>
        <v>18.939565658569336</v>
        <stp/>
        <stp>##V3_BDPV12</stp>
        <stp>LP APR19 25DP VOL LME Comdty</stp>
        <stp>PX_LAST</stp>
        <stp>[Qwack - LMELookBackExample.xlsx]MetalCurves!R8C31</stp>
        <tr r="AE8" s="1"/>
      </tp>
      <tp>
        <v>19.229473114013672</v>
        <stp/>
        <stp>##V3_BDPV12</stp>
        <stp>LA MAY19 25DC VOL LME Comdty</stp>
        <stp>PX_LAST</stp>
        <stp>[Qwack - LMELookBackExample.xlsx]MetalCurves!R9C28</stp>
        <tr r="AB9" s="1"/>
      </tp>
      <tp>
        <v>20.409347534179688</v>
        <stp/>
        <stp>##V3_BDPV12</stp>
        <stp>LA MAY19 10DC VOL LME Comdty</stp>
        <stp>PX_LAST</stp>
        <stp>[Qwack - LMELookBackExample.xlsx]MetalCurves!R9C29</stp>
        <tr r="AC9" s="1"/>
      </tp>
      <tp>
        <v>20.099353790283203</v>
        <stp/>
        <stp>##V3_BDPV12</stp>
        <stp>LA MAR19 10DC VOL LME Comdty</stp>
        <stp>PX_LAST</stp>
        <stp>[Qwack - LMELookBackExample.xlsx]MetalCurves!R7C29</stp>
        <tr r="AC7" s="1"/>
      </tp>
      <tp>
        <v>18.939517974853516</v>
        <stp/>
        <stp>##V3_BDPV12</stp>
        <stp>LA MAR19 25DC VOL LME Comdty</stp>
        <stp>PX_LAST</stp>
        <stp>[Qwack - LMELookBackExample.xlsx]MetalCurves!R7C28</stp>
        <tr r="AB7" s="1"/>
      </tp>
      <tp>
        <v>18.639698028564453</v>
        <stp/>
        <stp>##V3_BDPV12</stp>
        <stp>LP MAY19 25DC VOL LME Comdty</stp>
        <stp>PX_LAST</stp>
        <stp>[Qwack - LMELookBackExample.xlsx]MetalCurves!R9C33</stp>
        <tr r="AG9" s="1"/>
      </tp>
      <tp>
        <v>19.229663848876953</v>
        <stp/>
        <stp>##V3_BDPV12</stp>
        <stp>LP MAY19 10DC VOL LME Comdty</stp>
        <stp>PX_LAST</stp>
        <stp>[Qwack - LMELookBackExample.xlsx]MetalCurves!R9C34</stp>
        <tr r="AH9" s="1"/>
      </tp>
      <tp>
        <v>18.079648971557617</v>
        <stp/>
        <stp>##V3_BDPV12</stp>
        <stp>LP MAR19 10DC VOL LME Comdty</stp>
        <stp>PX_LAST</stp>
        <stp>[Qwack - LMELookBackExample.xlsx]MetalCurves!R7C34</stp>
        <tr r="AH7" s="1"/>
      </tp>
      <tp>
        <v>17.429697036743164</v>
        <stp/>
        <stp>##V3_BDPV12</stp>
        <stp>LP MAR19 25DC VOL LME Comdty</stp>
        <stp>PX_LAST</stp>
        <stp>[Qwack - LMELookBackExample.xlsx]MetalCurves!R7C33</stp>
        <tr r="AG7" s="1"/>
      </tp>
      <tp>
        <v>1.6125</v>
        <stp/>
        <stp>##V3_BDPV12</stp>
        <stp>XPDUSD25B9m Comdty</stp>
        <stp>PX_LAST</stp>
        <stp>[Qwack - LMELookBackExample.xlsx]MetalCurves!R69C18</stp>
        <tr r="R69" s="1"/>
      </tp>
      <tp>
        <v>2.2925</v>
        <stp/>
        <stp>##V3_BDPV12</stp>
        <stp>XPDUSD25B1w Comdty</stp>
        <stp>PX_LAST</stp>
        <stp>[Qwack - LMELookBackExample.xlsx]MetalCurves!R64C18</stp>
        <tr r="R64" s="1"/>
      </tp>
      <tp>
        <v>2.1349999999999998</v>
        <stp/>
        <stp>##V3_BDPV12</stp>
        <stp>XPDUSD25B1m Comdty</stp>
        <stp>PX_LAST</stp>
        <stp>[Qwack - LMELookBackExample.xlsx]MetalCurves!R65C18</stp>
        <tr r="R65" s="1"/>
      </tp>
      <tp>
        <v>1.63</v>
        <stp/>
        <stp>##V3_BDPV12</stp>
        <stp>XPDUSD25B1y Comdty</stp>
        <stp>PX_LAST</stp>
        <stp>[Qwack - LMELookBackExample.xlsx]MetalCurves!R70C18</stp>
        <tr r="R70" s="1"/>
      </tp>
      <tp>
        <v>1.63</v>
        <stp/>
        <stp>##V3_BDPV12</stp>
        <stp>XPDUSD25B2y Comdty</stp>
        <stp>PX_LAST</stp>
        <stp>[Qwack - LMELookBackExample.xlsx]MetalCurves!R72C18</stp>
        <tr r="R72" s="1"/>
      </tp>
      <tp>
        <v>1.9875</v>
        <stp/>
        <stp>##V3_BDPV12</stp>
        <stp>XPDUSD25B3m Comdty</stp>
        <stp>PX_LAST</stp>
        <stp>[Qwack - LMELookBackExample.xlsx]MetalCurves!R67C18</stp>
        <tr r="R67" s="1"/>
      </tp>
      <tp>
        <v>1.7350000000000001</v>
        <stp/>
        <stp>##V3_BDPV12</stp>
        <stp>XPDUSD25B3y Comdty</stp>
        <stp>PX_LAST</stp>
        <stp>[Qwack - LMELookBackExample.xlsx]MetalCurves!R73C18</stp>
        <tr r="R73" s="1"/>
      </tp>
      <tp>
        <v>2.0649999999999999</v>
        <stp/>
        <stp>##V3_BDPV12</stp>
        <stp>XPDUSD25B2m Comdty</stp>
        <stp>PX_LAST</stp>
        <stp>[Qwack - LMELookBackExample.xlsx]MetalCurves!R66C18</stp>
        <tr r="R66" s="1"/>
      </tp>
      <tp>
        <v>1.52</v>
        <stp/>
        <stp>##V3_BDPV12</stp>
        <stp>XPDUSD25B4y Comdty</stp>
        <stp>PX_LAST</stp>
        <stp>[Qwack - LMELookBackExample.xlsx]MetalCurves!R74C18</stp>
        <tr r="R74" s="1"/>
      </tp>
      <tp>
        <v>1.5649999999999999</v>
        <stp/>
        <stp>##V3_BDPV12</stp>
        <stp>XPDUSD25B5y Comdty</stp>
        <stp>PX_LAST</stp>
        <stp>[Qwack - LMELookBackExample.xlsx]MetalCurves!R75C18</stp>
        <tr r="R75" s="1"/>
      </tp>
      <tp>
        <v>1.575</v>
        <stp/>
        <stp>##V3_BDPV12</stp>
        <stp>XPDUSD25B6m Comdty</stp>
        <stp>PX_LAST</stp>
        <stp>[Qwack - LMELookBackExample.xlsx]MetalCurves!R68C18</stp>
        <tr r="R68" s="1"/>
      </tp>
      <tp>
        <v>0.99250000000000005</v>
        <stp/>
        <stp>##V3_BDPV12</stp>
        <stp>XAUUSD25B1y Comdty</stp>
        <stp>PX_LAST</stp>
        <stp>[Qwack - LMELookBackExample.xlsx]MetalCurves!R70C10</stp>
        <tr r="J70" s="1"/>
      </tp>
      <tp>
        <v>0.61250000000000004</v>
        <stp/>
        <stp>##V3_BDPV12</stp>
        <stp>XAUUSD25B1m Comdty</stp>
        <stp>PX_LAST</stp>
        <stp>[Qwack - LMELookBackExample.xlsx]MetalCurves!R65C10</stp>
        <tr r="J65" s="1"/>
      </tp>
      <tp>
        <v>0.50749999999999995</v>
        <stp/>
        <stp>##V3_BDPV12</stp>
        <stp>XAUUSD25B1w Comdty</stp>
        <stp>PX_LAST</stp>
        <stp>[Qwack - LMELookBackExample.xlsx]MetalCurves!R64C10</stp>
        <tr r="J64" s="1"/>
      </tp>
      <tp>
        <v>0.62749999999999995</v>
        <stp/>
        <stp>##V3_BDPV12</stp>
        <stp>XAUUSD25B2m Comdty</stp>
        <stp>PX_LAST</stp>
        <stp>[Qwack - LMELookBackExample.xlsx]MetalCurves!R66C10</stp>
        <tr r="J66" s="1"/>
      </tp>
      <tp>
        <v>1.04</v>
        <stp/>
        <stp>##V3_BDPV12</stp>
        <stp>XAUUSD25B3y Comdty</stp>
        <stp>PX_LAST</stp>
        <stp>[Qwack - LMELookBackExample.xlsx]MetalCurves!R73C10</stp>
        <tr r="J73" s="1"/>
      </tp>
      <tp>
        <v>0.6875</v>
        <stp/>
        <stp>##V3_BDPV12</stp>
        <stp>XAUUSD25B3m Comdty</stp>
        <stp>PX_LAST</stp>
        <stp>[Qwack - LMELookBackExample.xlsx]MetalCurves!R67C10</stp>
        <tr r="J67" s="1"/>
      </tp>
      <tp>
        <v>1.05</v>
        <stp/>
        <stp>##V3_BDPV12</stp>
        <stp>XAUUSD25B2y Comdty</stp>
        <stp>PX_LAST</stp>
        <stp>[Qwack - LMELookBackExample.xlsx]MetalCurves!R72C10</stp>
        <tr r="J72" s="1"/>
      </tp>
      <tp>
        <v>1.0275000000000001</v>
        <stp/>
        <stp>##V3_BDPV12</stp>
        <stp>XAUUSD25B5y Comdty</stp>
        <stp>PX_LAST</stp>
        <stp>[Qwack - LMELookBackExample.xlsx]MetalCurves!R75C10</stp>
        <tr r="J75" s="1"/>
      </tp>
      <tp>
        <v>1.0549999999999999</v>
        <stp/>
        <stp>##V3_BDPV12</stp>
        <stp>XAUUSD25B4y Comdty</stp>
        <stp>PX_LAST</stp>
        <stp>[Qwack - LMELookBackExample.xlsx]MetalCurves!R74C10</stp>
        <tr r="J74" s="1"/>
      </tp>
      <tp>
        <v>0.79500000000000004</v>
        <stp/>
        <stp>##V3_BDPV12</stp>
        <stp>XAUUSD25B6m Comdty</stp>
        <stp>PX_LAST</stp>
        <stp>[Qwack - LMELookBackExample.xlsx]MetalCurves!R68C10</stp>
        <tr r="J68" s="1"/>
      </tp>
      <tp>
        <v>0.90249999999999997</v>
        <stp/>
        <stp>##V3_BDPV12</stp>
        <stp>XAUUSD25B9m Comdty</stp>
        <stp>PX_LAST</stp>
        <stp>[Qwack - LMELookBackExample.xlsx]MetalCurves!R69C10</stp>
        <tr r="J69" s="1"/>
      </tp>
      <tp>
        <v>6.8</v>
        <stp/>
        <stp>##V3_BDPV12</stp>
        <stp>XPDUSD25R6m Comdty</stp>
        <stp>PX_LAST</stp>
        <stp>[Qwack - LMELookBackExample.xlsx]MetalCurves!R68C16</stp>
        <tr r="P68" s="1"/>
      </tp>
      <tp>
        <v>7.3574999999999999</v>
        <stp/>
        <stp>##V3_BDPV12</stp>
        <stp>XPDUSD25R4y Comdty</stp>
        <stp>PX_LAST</stp>
        <stp>[Qwack - LMELookBackExample.xlsx]MetalCurves!R74C16</stp>
        <tr r="P74" s="1"/>
      </tp>
      <tp>
        <v>7.2975000000000003</v>
        <stp/>
        <stp>##V3_BDPV12</stp>
        <stp>XPDUSD25R5y Comdty</stp>
        <stp>PX_LAST</stp>
        <stp>[Qwack - LMELookBackExample.xlsx]MetalCurves!R75C16</stp>
        <tr r="P75" s="1"/>
      </tp>
      <tp>
        <v>7.4225000000000003</v>
        <stp/>
        <stp>##V3_BDPV12</stp>
        <stp>XPDUSD25R2y Comdty</stp>
        <stp>PX_LAST</stp>
        <stp>[Qwack - LMELookBackExample.xlsx]MetalCurves!R72C16</stp>
        <tr r="P72" s="1"/>
      </tp>
      <tp>
        <v>6.7</v>
        <stp/>
        <stp>##V3_BDPV12</stp>
        <stp>XPDUSD25R3m Comdty</stp>
        <stp>PX_LAST</stp>
        <stp>[Qwack - LMELookBackExample.xlsx]MetalCurves!R67C16</stp>
        <tr r="P67" s="1"/>
      </tp>
      <tp>
        <v>7.23</v>
        <stp/>
        <stp>##V3_BDPV12</stp>
        <stp>XPDUSD25R3y Comdty</stp>
        <stp>PX_LAST</stp>
        <stp>[Qwack - LMELookBackExample.xlsx]MetalCurves!R73C16</stp>
        <tr r="P73" s="1"/>
      </tp>
      <tp>
        <v>6.6</v>
        <stp/>
        <stp>##V3_BDPV12</stp>
        <stp>XPDUSD25R2m Comdty</stp>
        <stp>PX_LAST</stp>
        <stp>[Qwack - LMELookBackExample.xlsx]MetalCurves!R66C16</stp>
        <tr r="P66" s="1"/>
      </tp>
      <tp>
        <v>7</v>
        <stp/>
        <stp>##V3_BDPV12</stp>
        <stp>XPDUSD25R1w Comdty</stp>
        <stp>PX_LAST</stp>
        <stp>[Qwack - LMELookBackExample.xlsx]MetalCurves!R64C16</stp>
        <tr r="P64" s="1"/>
      </tp>
      <tp>
        <v>6.5</v>
        <stp/>
        <stp>##V3_BDPV12</stp>
        <stp>XPDUSD25R1m Comdty</stp>
        <stp>PX_LAST</stp>
        <stp>[Qwack - LMELookBackExample.xlsx]MetalCurves!R65C16</stp>
        <tr r="P65" s="1"/>
      </tp>
      <tp>
        <v>7</v>
        <stp/>
        <stp>##V3_BDPV12</stp>
        <stp>XPDUSD25R1y Comdty</stp>
        <stp>PX_LAST</stp>
        <stp>[Qwack - LMELookBackExample.xlsx]MetalCurves!R70C16</stp>
        <tr r="P70" s="1"/>
      </tp>
      <tp>
        <v>6.9</v>
        <stp/>
        <stp>##V3_BDPV12</stp>
        <stp>XPDUSD25R9m Comdty</stp>
        <stp>PX_LAST</stp>
        <stp>[Qwack - LMELookBackExample.xlsx]MetalCurves!R69C16</stp>
        <tr r="P69" s="1"/>
      </tp>
      <tp>
        <v>19.249668121337891</v>
        <stp/>
        <stp>##V3_BDPV12</stp>
        <stp>LA JUN19 10DP VOL LME Comdty</stp>
        <stp>PX_LAST</stp>
        <stp>[Qwack - LMELookBackExample.xlsx]MetalCurves!R10C25</stp>
        <tr r="Y10" s="1"/>
      </tp>
      <tp>
        <v>20.459352493286133</v>
        <stp/>
        <stp>##V3_BDPV12</stp>
        <stp>LA JUN19 10DC VOL LME Comdty</stp>
        <stp>PX_LAST</stp>
        <stp>[Qwack - LMELookBackExample.xlsx]MetalCurves!R10C29</stp>
        <tr r="AC10" s="1"/>
      </tp>
      <tp>
        <v>19.609542846679688</v>
        <stp/>
        <stp>##V3_BDPV12</stp>
        <stp>LA JAN22 10DC VOL LME Comdty</stp>
        <stp>PX_LAST</stp>
        <stp>[Qwack - LMELookBackExample.xlsx]MetalCurves!R41C29</stp>
        <tr r="AC41" s="1"/>
      </tp>
      <tp>
        <v>20.179479598999023</v>
        <stp/>
        <stp>##V3_BDPV12</stp>
        <stp>LA JUN20 10DC VOL LME Comdty</stp>
        <stp>PX_LAST</stp>
        <stp>[Qwack - LMELookBackExample.xlsx]MetalCurves!R22C29</stp>
        <tr r="AC22" s="1"/>
      </tp>
      <tp>
        <v>19.619546890258789</v>
        <stp/>
        <stp>##V3_BDPV12</stp>
        <stp>LA JUN21 10DC VOL LME Comdty</stp>
        <stp>PX_LAST</stp>
        <stp>[Qwack - LMELookBackExample.xlsx]MetalCurves!R34C29</stp>
        <tr r="AC34" s="1"/>
      </tp>
      <tp>
        <v>19.719549179077148</v>
        <stp/>
        <stp>##V3_BDPV12</stp>
        <stp>LA JAN21 10DC VOL LME Comdty</stp>
        <stp>PX_LAST</stp>
        <stp>[Qwack - LMELookBackExample.xlsx]MetalCurves!R29C29</stp>
        <tr r="AC29" s="1"/>
      </tp>
      <tp>
        <v>20.509368896484375</v>
        <stp/>
        <stp>##V3_BDPV12</stp>
        <stp>LA JAN20 10DC VOL LME Comdty</stp>
        <stp>PX_LAST</stp>
        <stp>[Qwack - LMELookBackExample.xlsx]MetalCurves!R17C29</stp>
        <tr r="AC17" s="1"/>
      </tp>
      <tp>
        <v>19.389617919921875</v>
        <stp/>
        <stp>##V3_BDPV12</stp>
        <stp>LA JUN20 10DP VOL LME Comdty</stp>
        <stp>PX_LAST</stp>
        <stp>[Qwack - LMELookBackExample.xlsx]MetalCurves!R22C25</stp>
        <tr r="Y22" s="1"/>
      </tp>
      <tp>
        <v>19.449611663818359</v>
        <stp/>
        <stp>##V3_BDPV12</stp>
        <stp>LA JUN21 10DP VOL LME Comdty</stp>
        <stp>PX_LAST</stp>
        <stp>[Qwack - LMELookBackExample.xlsx]MetalCurves!R34C25</stp>
        <tr r="Y34" s="1"/>
      </tp>
      <tp>
        <v>19.429615020751953</v>
        <stp/>
        <stp>##V3_BDPV12</stp>
        <stp>LA JAN21 10DP VOL LME Comdty</stp>
        <stp>PX_LAST</stp>
        <stp>[Qwack - LMELookBackExample.xlsx]MetalCurves!R29C25</stp>
        <tr r="Y29" s="1"/>
      </tp>
      <tp>
        <v>19.339588165283203</v>
        <stp/>
        <stp>##V3_BDPV12</stp>
        <stp>LA JAN20 10DP VOL LME Comdty</stp>
        <stp>PX_LAST</stp>
        <stp>[Qwack - LMELookBackExample.xlsx]MetalCurves!R17C25</stp>
        <tr r="Y17" s="1"/>
      </tp>
      <tp>
        <v>19.559627532958984</v>
        <stp/>
        <stp>##V3_BDPV12</stp>
        <stp>LA JAN22 10DP VOL LME Comdty</stp>
        <stp>PX_LAST</stp>
        <stp>[Qwack - LMELookBackExample.xlsx]MetalCurves!R41C25</stp>
        <tr r="Y41" s="1"/>
      </tp>
      <tp>
        <v>97.13</v>
        <stp/>
        <stp>##V3_BDPV12</stp>
        <stp>EDM4 Comdty</stp>
        <stp>PX_LAST</stp>
        <stp>[Qwack - LMELookBackExample.xlsx]FundingFx!R23C8</stp>
        <tr r="H23" s="2"/>
      </tp>
      <tp>
        <v>97.394999999999996</v>
        <stp/>
        <stp>##V3_BDPV12</stp>
        <stp>EDZ1 Comdty</stp>
        <stp>PX_LAST</stp>
        <stp>[Qwack - LMELookBackExample.xlsx]FundingFx!R13C8</stp>
        <tr r="H13" s="2"/>
      </tp>
      <tp>
        <v>18.609834671020508</v>
        <stp/>
        <stp>##V3_BDPV12</stp>
        <stp>LA JUL19 25DP VOL LME Comdty</stp>
        <stp>PX_LAST</stp>
        <stp>[Qwack - LMELookBackExample.xlsx]MetalCurves!R11C26</stp>
        <tr r="Z11" s="1"/>
      </tp>
      <tp>
        <v>19.299427032470703</v>
        <stp/>
        <stp>##V3_BDPV12</stp>
        <stp>LA JUL19 25DC VOL LME Comdty</stp>
        <stp>PX_LAST</stp>
        <stp>[Qwack - LMELookBackExample.xlsx]MetalCurves!R11C28</stp>
        <tr r="AB11" s="1"/>
      </tp>
      <tp>
        <v>19.22944450378418</v>
        <stp/>
        <stp>##V3_BDPV12</stp>
        <stp>LA JUL20 25DC VOL LME Comdty</stp>
        <stp>PX_LAST</stp>
        <stp>[Qwack - LMELookBackExample.xlsx]MetalCurves!R23C28</stp>
        <tr r="AB23" s="1"/>
      </tp>
      <tp>
        <v>18.82948112487793</v>
        <stp/>
        <stp>##V3_BDPV12</stp>
        <stp>LA JUL21 25DC VOL LME Comdty</stp>
        <stp>PX_LAST</stp>
        <stp>[Qwack - LMELookBackExample.xlsx]MetalCurves!R35C28</stp>
        <tr r="AB35" s="1"/>
      </tp>
      <tp>
        <v>18.61981201171875</v>
        <stp/>
        <stp>##V3_BDPV12</stp>
        <stp>LA JUL20 25DP VOL LME Comdty</stp>
        <stp>PX_LAST</stp>
        <stp>[Qwack - LMELookBackExample.xlsx]MetalCurves!R23C26</stp>
        <tr r="Z23" s="1"/>
      </tp>
      <tp>
        <v>18.579811096191406</v>
        <stp/>
        <stp>##V3_BDPV12</stp>
        <stp>LA JUL21 25DP VOL LME Comdty</stp>
        <stp>PX_LAST</stp>
        <stp>[Qwack - LMELookBackExample.xlsx]MetalCurves!R35C26</stp>
        <tr r="Z35" s="1"/>
      </tp>
      <tp>
        <v>97.19</v>
        <stp/>
        <stp>##V3_BDPV12</stp>
        <stp>EDH4 Comdty</stp>
        <stp>PX_LAST</stp>
        <stp>[Qwack - LMELookBackExample.xlsx]FundingFx!R22C8</stp>
        <tr r="H22" s="2"/>
      </tp>
      <tp>
        <v>97.424999999999997</v>
        <stp/>
        <stp>##V3_BDPV12</stp>
        <stp>EDU1 Comdty</stp>
        <stp>PX_LAST</stp>
        <stp>[Qwack - LMELookBackExample.xlsx]FundingFx!R12C8</stp>
        <tr r="H12" s="2"/>
      </tp>
      <tp>
        <v>18.369960784912109</v>
        <stp/>
        <stp>##V3_BDPV12</stp>
        <stp>LA MAY20 50D VOL LME Comdty</stp>
        <stp>PX_LAST</stp>
        <stp>[Qwack - LMELookBackExample.xlsx]MetalCurves!R21C27</stp>
        <tr r="AA21" s="1"/>
      </tp>
      <tp>
        <v>18.109973907470703</v>
        <stp/>
        <stp>##V3_BDPV12</stp>
        <stp>LA MAY21 50D VOL LME Comdty</stp>
        <stp>PX_LAST</stp>
        <stp>[Qwack - LMELookBackExample.xlsx]MetalCurves!R33C27</stp>
        <tr r="AA33" s="1"/>
      </tp>
      <tp>
        <v>18.079982757568359</v>
        <stp/>
        <stp>##V3_BDPV12</stp>
        <stp>LA MAY22 50D VOL LME Comdty</stp>
        <stp>PX_LAST</stp>
        <stp>[Qwack - LMELookBackExample.xlsx]MetalCurves!R45C27</stp>
        <tr r="AA45" s="1"/>
      </tp>
      <tp>
        <v>29.899873733520508</v>
        <stp/>
        <stp>##V3_BDPV12</stp>
        <stp>LN MAR20 50D VOL LME Comdty</stp>
        <stp>PX_LAST</stp>
        <stp>[Qwack - LMELookBackExample.xlsx]MetalCurves!R19C36</stp>
        <tr r="AJ19" s="1"/>
      </tp>
      <tp>
        <v>29.959833145141602</v>
        <stp/>
        <stp>##V3_BDPV12</stp>
        <stp>LN MAR21 50D VOL LME Comdty</stp>
        <stp>PX_LAST</stp>
        <stp>[Qwack - LMELookBackExample.xlsx]MetalCurves!R31C36</stp>
        <tr r="AJ31" s="1"/>
      </tp>
      <tp>
        <v>19.920114517211914</v>
        <stp/>
        <stp>##V3_BDPV12</stp>
        <stp>LP JAN22 50D VOL LME Comdty</stp>
        <stp>PX_LAST</stp>
        <stp>[Qwack - LMELookBackExample.xlsx]MetalCurves!R41C32</stp>
        <tr r="AF41" s="1"/>
      </tp>
      <tp>
        <v>19.650047302246094</v>
        <stp/>
        <stp>##V3_BDPV12</stp>
        <stp>LP JAN20 50D VOL LME Comdty</stp>
        <stp>PX_LAST</stp>
        <stp>[Qwack - LMELookBackExample.xlsx]MetalCurves!R17C32</stp>
        <tr r="AF17" s="1"/>
      </tp>
      <tp>
        <v>19.960084915161133</v>
        <stp/>
        <stp>##V3_BDPV12</stp>
        <stp>LP JAN21 50D VOL LME Comdty</stp>
        <stp>PX_LAST</stp>
        <stp>[Qwack - LMELookBackExample.xlsx]MetalCurves!R29C32</stp>
        <tr r="AF29" s="1"/>
      </tp>
      <tp>
        <v>18.389961242675781</v>
        <stp/>
        <stp>##V3_BDPV12</stp>
        <stp>LA MAR20 50D VOL LME Comdty</stp>
        <stp>PX_LAST</stp>
        <stp>[Qwack - LMELookBackExample.xlsx]MetalCurves!R19C27</stp>
        <tr r="AA19" s="1"/>
      </tp>
      <tp>
        <v>18.149972915649414</v>
        <stp/>
        <stp>##V3_BDPV12</stp>
        <stp>LA MAR21 50D VOL LME Comdty</stp>
        <stp>PX_LAST</stp>
        <stp>[Qwack - LMELookBackExample.xlsx]MetalCurves!R31C27</stp>
        <tr r="AA31" s="1"/>
      </tp>
      <tp>
        <v>18.119983673095703</v>
        <stp/>
        <stp>##V3_BDPV12</stp>
        <stp>LA MAR22 50D VOL LME Comdty</stp>
        <stp>PX_LAST</stp>
        <stp>[Qwack - LMELookBackExample.xlsx]MetalCurves!R43C27</stp>
        <tr r="AA43" s="1"/>
      </tp>
      <tp>
        <v>29.749872207641602</v>
        <stp/>
        <stp>##V3_BDPV12</stp>
        <stp>LN MAY20 50D VOL LME Comdty</stp>
        <stp>PX_LAST</stp>
        <stp>[Qwack - LMELookBackExample.xlsx]MetalCurves!R21C36</stp>
        <tr r="AJ21" s="1"/>
      </tp>
      <tp>
        <v>23.920137405395508</v>
        <stp/>
        <stp>##V3_BDPV12</stp>
        <stp>LX JAN21 50D VOL LME Comdty</stp>
        <stp>PX_LAST</stp>
        <stp>[Qwack - LMELookBackExample.xlsx]MetalCurves!R29C35</stp>
        <tr r="AI29" s="1"/>
      </tp>
      <tp>
        <v>24.070074081420898</v>
        <stp/>
        <stp>##V3_BDPV12</stp>
        <stp>LX JAN20 50D VOL LME Comdty</stp>
        <stp>PX_LAST</stp>
        <stp>[Qwack - LMELookBackExample.xlsx]MetalCurves!R17C35</stp>
        <tr r="AI17" s="1"/>
      </tp>
      <tp>
        <v>19.920120239257813</v>
        <stp/>
        <stp>##V3_BDPV12</stp>
        <stp>LP MAY22 50D VOL LME Comdty</stp>
        <stp>PX_LAST</stp>
        <stp>[Qwack - LMELookBackExample.xlsx]MetalCurves!R45C32</stp>
        <tr r="AF45" s="1"/>
      </tp>
      <tp>
        <v>19.920097351074219</v>
        <stp/>
        <stp>##V3_BDPV12</stp>
        <stp>LP MAY21 50D VOL LME Comdty</stp>
        <stp>PX_LAST</stp>
        <stp>[Qwack - LMELookBackExample.xlsx]MetalCurves!R33C32</stp>
        <tr r="AF33" s="1"/>
      </tp>
      <tp>
        <v>19.780065536499023</v>
        <stp/>
        <stp>##V3_BDPV12</stp>
        <stp>LP MAY20 50D VOL LME Comdty</stp>
        <stp>PX_LAST</stp>
        <stp>[Qwack - LMELookBackExample.xlsx]MetalCurves!R21C32</stp>
        <tr r="AF21" s="1"/>
      </tp>
      <tp>
        <v>23.950145721435547</v>
        <stp/>
        <stp>##V3_BDPV12</stp>
        <stp>LX MAR21 50D VOL LME Comdty</stp>
        <stp>PX_LAST</stp>
        <stp>[Qwack - LMELookBackExample.xlsx]MetalCurves!R31C35</stp>
        <tr r="AI31" s="1"/>
      </tp>
      <tp>
        <v>24.060079574584961</v>
        <stp/>
        <stp>##V3_BDPV12</stp>
        <stp>LX MAR20 50D VOL LME Comdty</stp>
        <stp>PX_LAST</stp>
        <stp>[Qwack - LMELookBackExample.xlsx]MetalCurves!R19C35</stp>
        <tr r="AI19" s="1"/>
      </tp>
      <tp>
        <v>18.389965057373047</v>
        <stp/>
        <stp>##V3_BDPV12</stp>
        <stp>LA JAN20 50D VOL LME Comdty</stp>
        <stp>PX_LAST</stp>
        <stp>[Qwack - LMELookBackExample.xlsx]MetalCurves!R17C27</stp>
        <tr r="AA17" s="1"/>
      </tp>
      <tp>
        <v>18.159971237182617</v>
        <stp/>
        <stp>##V3_BDPV12</stp>
        <stp>LA JAN21 50D VOL LME Comdty</stp>
        <stp>PX_LAST</stp>
        <stp>[Qwack - LMELookBackExample.xlsx]MetalCurves!R29C27</stp>
        <tr r="AA29" s="1"/>
      </tp>
      <tp>
        <v>18.129980087280273</v>
        <stp/>
        <stp>##V3_BDPV12</stp>
        <stp>LA JAN22 50D VOL LME Comdty</stp>
        <stp>PX_LAST</stp>
        <stp>[Qwack - LMELookBackExample.xlsx]MetalCurves!R41C27</stp>
        <tr r="AA41" s="1"/>
      </tp>
      <tp>
        <v>24.000106811523438</v>
        <stp/>
        <stp>##V3_BDPV12</stp>
        <stp>LX MAY20 50D VOL LME Comdty</stp>
        <stp>PX_LAST</stp>
        <stp>[Qwack - LMELookBackExample.xlsx]MetalCurves!R21C35</stp>
        <tr r="AI21" s="1"/>
      </tp>
      <tp>
        <v>29.789884567260742</v>
        <stp/>
        <stp>##V3_BDPV12</stp>
        <stp>LN JAN20 50D VOL LME Comdty</stp>
        <stp>PX_LAST</stp>
        <stp>[Qwack - LMELookBackExample.xlsx]MetalCurves!R17C36</stp>
        <tr r="AJ17" s="1"/>
      </tp>
      <tp>
        <v>29.939842224121094</v>
        <stp/>
        <stp>##V3_BDPV12</stp>
        <stp>LN JAN21 50D VOL LME Comdty</stp>
        <stp>PX_LAST</stp>
        <stp>[Qwack - LMELookBackExample.xlsx]MetalCurves!R29C36</stp>
        <tr r="AJ29" s="1"/>
      </tp>
      <tp>
        <v>19.92011833190918</v>
        <stp/>
        <stp>##V3_BDPV12</stp>
        <stp>LP MAR22 50D VOL LME Comdty</stp>
        <stp>PX_LAST</stp>
        <stp>[Qwack - LMELookBackExample.xlsx]MetalCurves!R43C32</stp>
        <tr r="AF43" s="1"/>
      </tp>
      <tp>
        <v>19.730056762695313</v>
        <stp/>
        <stp>##V3_BDPV12</stp>
        <stp>LP MAR20 50D VOL LME Comdty</stp>
        <stp>PX_LAST</stp>
        <stp>[Qwack - LMELookBackExample.xlsx]MetalCurves!R19C32</stp>
        <tr r="AF19" s="1"/>
      </tp>
      <tp>
        <v>19.970088958740234</v>
        <stp/>
        <stp>##V3_BDPV12</stp>
        <stp>LP MAR21 50D VOL LME Comdty</stp>
        <stp>PX_LAST</stp>
        <stp>[Qwack - LMELookBackExample.xlsx]MetalCurves!R31C32</stp>
        <tr r="AF31" s="1"/>
      </tp>
      <tp>
        <v>19.259654998779297</v>
        <stp/>
        <stp>##V3_BDPV12</stp>
        <stp>LA JUL19 10DP VOL LME Comdty</stp>
        <stp>PX_LAST</stp>
        <stp>[Qwack - LMELookBackExample.xlsx]MetalCurves!R11C25</stp>
        <tr r="Y11" s="1"/>
      </tp>
      <tp>
        <v>20.459341049194336</v>
        <stp/>
        <stp>##V3_BDPV12</stp>
        <stp>LA JUL19 10DC VOL LME Comdty</stp>
        <stp>PX_LAST</stp>
        <stp>[Qwack - LMELookBackExample.xlsx]MetalCurves!R11C29</stp>
        <tr r="AC11" s="1"/>
      </tp>
      <tp>
        <v>97.385000000000005</v>
        <stp/>
        <stp>##V3_BDPV12</stp>
        <stp>EDU0 Comdty</stp>
        <stp>PX_LAST</stp>
        <stp>[Qwack - LMELookBackExample.xlsx]FundingFx!R8C8</stp>
        <tr r="H8" s="2"/>
      </tp>
      <tp>
        <v>20.089504241943359</v>
        <stp/>
        <stp>##V3_BDPV12</stp>
        <stp>LA JUL20 10DC VOL LME Comdty</stp>
        <stp>PX_LAST</stp>
        <stp>[Qwack - LMELookBackExample.xlsx]MetalCurves!R23C29</stp>
        <tr r="AC23" s="1"/>
      </tp>
      <tp>
        <v>19.599540710449219</v>
        <stp/>
        <stp>##V3_BDPV12</stp>
        <stp>LA JUL21 10DC VOL LME Comdty</stp>
        <stp>PX_LAST</stp>
        <stp>[Qwack - LMELookBackExample.xlsx]MetalCurves!R35C29</stp>
        <tr r="AC35" s="1"/>
      </tp>
      <tp>
        <v>19.409618377685547</v>
        <stp/>
        <stp>##V3_BDPV12</stp>
        <stp>LA JUL20 10DP VOL LME Comdty</stp>
        <stp>PX_LAST</stp>
        <stp>[Qwack - LMELookBackExample.xlsx]MetalCurves!R23C25</stp>
        <tr r="Y23" s="1"/>
      </tp>
      <tp>
        <v>19.449613571166992</v>
        <stp/>
        <stp>##V3_BDPV12</stp>
        <stp>LA JUL21 10DP VOL LME Comdty</stp>
        <stp>PX_LAST</stp>
        <stp>[Qwack - LMELookBackExample.xlsx]MetalCurves!R35C25</stp>
        <tr r="Y35" s="1"/>
      </tp>
      <tp>
        <v>97.424999999999997</v>
        <stp/>
        <stp>##V3_BDPV12</stp>
        <stp>EDM1 Comdty</stp>
        <stp>PX_LAST</stp>
        <stp>[Qwack - LMELookBackExample.xlsx]FundingFx!R11C8</stp>
        <tr r="H11" s="2"/>
      </tp>
      <tp>
        <v>97.19</v>
        <stp/>
        <stp>##V3_BDPV12</stp>
        <stp>EDZ3 Comdty</stp>
        <stp>PX_LAST</stp>
        <stp>[Qwack - LMELookBackExample.xlsx]FundingFx!R21C8</stp>
        <tr r="H21" s="2"/>
      </tp>
      <tp t="s">
        <v>43231{%f},13910{%f};43234{%f},14320{%f};43235{%f},14490{%f};43236{%f},14410{%f};43237{%f},14580{%f};43238{%f},14750{%f};43241{%f},14615{%f};43242{%f},14700{%f};43243{%f},14510{%f};43244{%f},14525{%f};43245{%f},14840{%f};43249{%f},14880{%f};43250{%f},14870{%f};43251{%f},15200{%f};43252{%f},15150{%f};43255{%f},15280{%f};43256{%f},15415{%f};43257{%f},15640{%f};43258{%f},15750{%f};43259{%f},15240{%f};43262{%f},15310{%f};43263{%f},15295{%f};43264{%f},15180{%f};43265{%f},15245{%f};43266{%f},15265{%f};43269{%f},14970{%f};43270{%f},14545{%f};43271{%f},14850{%f};43272{%f},14980{%f};43273{%f},15255{%f};43276{%f},15060{%f};43277{%f},14570{%f};43278{%f},14700{%f};43279{%f},14720{%f};43280{%f},14910{%f};43283{%f},14575{%f};43284{%f},14620{%f};43285{%f},14100{%f};43286{%f},14170{%f};43287{%f},13760{%f};43290{%f},13970{%f};43291{%f},13960{%f};43292{%f},13630{%f};43293{%f},14055{%f};43294{%f},13870{%f};43297{%f},13680{%f};43298{%f},13460{%f};43299{%f},13315{%f};43300{%f},13220{%f};43301{%f},13425{%f};43304{%f},13440{%f};43305{%f},13435{%f};43306{%f},13535{%f};43307{%f},13575{%f};43308{%f},13720{%f};43311{%f},13700{%f};43312{%f},13770{%f};43313{%f},13780{%f};43314{%f},13225{%f};43315{%f},13130{%f};43318{%f},13225{%f};43319{%f},13750{%f};43320{%f},13920{%f};43321{%f},14060{%f};43322{%f},13635{%f};43325{%f},13680{%f};43326{%f},13345{%f};43327{%f},12985{%f};43328{%f},13115{%f};43329{%f},13240{%f};43332{%f},13560{%f};43333{%f},13680{%f};43334{%f},13570{%f};43335{%f},13140{%f};43336{%f},13310{%f};43340{%f},13460{%f};43341{%f},13415{%f};43342{%f},13290{%f};43343{%f},13010{%f};43346{%f},12670{%f};43347{%f},12475{%f};43348{%f},12415{%f};43349{%f},12490{%f};43350{%f},12290{%f};43353{%f},12205{%f};43354{%f},12255{%f};43355{%f},12285{%f};43356{%f},12615{%f};43357{%f},12515{%f};43360{%f},12235{%f};43361{%f},12320{%f};43362{%f},12470{%f};43363{%f},12530{%f};43364{%f},12955{%f};43367{%f},12980{%f};43368{%f},12845{%f};43369{%f},12895{%f};43370{%f},12620{%f};43371{%f},12480{%f};43374{%f},12325{%f};43375{%f},12420{%f};43376{%f},12400{%f};43377{%f},12770{%f};43378{%f},12400{%f};43381{%f},12395{%f};43382{%f},12660{%f};43383{%f},12775{%f};43384{%f},12420{%f};43385{%f},12710{%f};43388{%f},12650{%f};43389{%f},12450{%f};43390{%f},12440{%f};43391{%f},12140{%f};43392{%f},12470{%f};43395{%f},12455{%f};43396{%f},12330{%f};43397{%f},12295{%f};43398{%f},12135{%f};43399{%f},11835{%f};43402{%f},11725{%f};43403{%f},11700{%f};43404{%f},11625{%f};43405{%f},11555{%f};43406{%f},11980{%f};43409{%f},11680{%f};43410{%f},11820{%f};43411{%f},11670{%f};43412{%f},11615{%f};43413{%f},11470{%f};43416{%f},11290{%f};43417{%f},11370{%f};43418{%f},11225{%f};43419{%f},11340{%f};43420{%f},11280{%f};43423{%f},11200{%f};43424{%f},11190{%f};43425{%f},11085{%f};43426{%f},10970{%f};43427{%f},10710{%f};43430{%f},10770{%f};43431{%f},10710{%f};43432{%f},10735{%f};43433{%f},10890{%f};43434{%f},11020{%f};43437{%f},11200{%f};43438{%f},11265{%f};43439{%f},11020{%f};43440{%f},10855{%f};43441{%f},10815{%f};43444{%f},10740{%f};43445{%f},10765{%f};43446{%f},10720{%f};43447{%f},10800{%f};43448{%f},10740{%f};43451{%f},10935{%f};43452{%f},10885{%f};43453{%f},10775{%f};43454{%f},10885{%f};43455{%f},10785{%f};43458{%f},10800{%f};43461{%f},10650{%f};43462{%f},10670{%f};43465{%f},10595{%f};43467{%f},10440{%f};43468{%f},10715{%f};43469{%f},10920{%f};43472{%f},11040{%f};43473{%f},11055{%f};43474{%f},11205{%f};43475{%f},11225{%f};43476{%f},11400{%f};43479{%f},11420{%f};43480{%f},11430{%f};43481{%f},11580{%f};43482{%f},11450{%f}##BDH_RS##</v>
        <stp/>
        <stp>##V3_BDHV12</stp>
        <stp>LONIDY Comdty</stp>
        <stp>PX_SETTLE</stp>
        <stp>11/05/2018</stp>
        <stp>17/01/2019</stp>
        <stp>[Qwack - LMELookBackExample.xlsx]MetalCurves!R6C41</stp>
        <stp>Array=true</stp>
        <tr r="AO6" s="1"/>
      </tp>
      <tp t="s">
        <v>43231{%f},6869{%f};43234{%f},6828{%f};43235{%f},6822.5{%f};43236{%f},6773.5{%f};43237{%f},6838{%f};43238{%f},6783.5{%f};43241{%f},6861{%f};43242{%f},6931.5{%f};43243{%f},6800{%f};43244{%f},6835{%f};43245{%f},6886{%f};43249{%f},6841.5{%f};43250{%f},6810{%f};43251{%f},6825{%f};43252{%f},6814{%f};43255{%f},6935{%f};43256{%f},6971{%f};43257{%f},7147{%f};43258{%f},7245.5{%f};43259{%f},7262.5{%f};43262{%f},7223.5{%f};43263{%f},7200.5{%f};43264{%f},7201.5{%f};43265{%f},7197{%f};43266{%f},7136{%f};43269{%f},6987{%f};43270{%f},6820{%f};43271{%f},6819{%f};43272{%f},6801{%f};43273{%f},6811{%f};43276{%f},6783{%f};43277{%f},6712{%f};43278{%f},6688{%f};43279{%f},6650{%f};43280{%f},6646{%f};43283{%f},6595{%f};43284{%f},6584.5{%f};43285{%f},6459{%f};43286{%f},6399.5{%f};43287{%f},6326{%f};43290{%f},6383{%f};43291{%f},6308{%f};43292{%f},6182{%f};43293{%f},6173{%f};43294{%f},6166{%f};43297{%f},6143{%f};43298{%f},6141.5{%f};43299{%f},6068{%f};43300{%f},5982{%f};43301{%f},6073{%f};43304{%f},6153{%f};43305{%f},6167{%f};43306{%f},6252{%f};43307{%f},6255{%f};43308{%f},6251.5{%f};43311{%f},6185{%f};43312{%f},6213{%f};43313{%f},6137{%f};43314{%f},6063{%f};43315{%f},6167{%f};43318{%f},6040{%f};43319{%f},6132{%f};43320{%f},6113{%f};43321{%f},6247{%f};43322{%f},6120{%f};43325{%f},6081{%f};43326{%f},6059{%f};43327{%f},5843{%f};43328{%f},5860{%f};43329{%f},5844{%f};43332{%f},5963{%f};43333{%f},6025.5{%f};43334{%f},6000{%f};43335{%f},5910.5{%f};43336{%f},6001{%f};43340{%f},6118{%f};43341{%f},6065{%f};43342{%f},6066.5{%f};43343{%f},6019{%f};43346{%f},5951{%f};43347{%f},5823{%f};43348{%f},5850{%f};43349{%f},5940{%f};43350{%f},5883{%f};43353{%f},5840.5{%f};43354{%f},5849{%f};43355{%f},5891{%f};43356{%f},5991{%f};43357{%f},5946.5{%f};43360{%f},5860{%f};43361{%f},6003{%f};43362{%f},6057{%f};43363{%f},6057{%f};43364{%f},6203{%f};43367{%f},6320{%f};43368{%f},6276{%f};43369{%f},6257.5{%f};43370{%f},6222{%f};43371{%f},6180{%f};43374{%f},6172{%f};43375{%f},6274{%f};43376{%f},6275{%f};43377{%f},6310{%f};43378{%f},6182.5{%f};43381{%f},6169{%f};43382{%f},6219{%f};43383{%f},6294{%f};43384{%f},6155{%f};43385{%f},6325{%f};43388{%f},6296{%f};43389{%f},6202{%f};43390{%f},6249{%f};43391{%f},6147{%f};43392{%f},6191.5{%f};43395{%f},6284{%f};43396{%f},6167.5{%f};43397{%f},6215{%f};43398{%f},6210{%f};43399{%f},6159{%f};43402{%f},6260{%f};43403{%f},6136{%f};43404{%f},6073{%f};43405{%f},6070{%f};43406{%f},6255{%f};43409{%f},6239{%f};43410{%f},6205{%f};43411{%f},6210{%f};43412{%f},6137{%f};43413{%f},6088{%f};43416{%f},6083.5{%f};43417{%f},6130{%f};43418{%f},6106{%f};43419{%f},6188{%f};43420{%f},6181{%f};43423{%f},6260{%f};43424{%f},6262{%f};43425{%f},6242{%f};43426{%f},6246{%f};43427{%f},6210{%f};43430{%f},6246{%f};43431{%f},6169.5{%f};43432{%f},6198{%f};43433{%f},6282{%f};43434{%f},6238{%f};43437{%f},6307{%f};43438{%f},6278{%f};43439{%f},6162{%f};43440{%f},6112{%f};43441{%f},6173{%f};43444{%f},6112{%f};43445{%f},6163{%f};43446{%f},6151{%f};43447{%f},6196{%f};43448{%f},6104{%f};43451{%f},6095.5{%f};43452{%f},6043{%f};43453{%f},5987{%f};43454{%f},6015{%f};43455{%f},5987{%f};43458{%f},5931.5{%f};43461{%f},5990{%f};43462{%f},6018{%f};43465{%f},5965{%f};43467{%f},5839{%f};43468{%f},5811{%f};43469{%f},5840{%f};43472{%f},5889.5{%f};43473{%f},5904.5{%f};43474{%f},5964{%f};43475{%f},5908.5{%f};43476{%f},5926.5{%f};43479{%f},5861{%f};43480{%f},5882{%f};43481{%f},5911{%f};43482{%f},5933{%f}##BDH_RS##</v>
        <stp/>
        <stp>##V3_BDHV12</stp>
        <stp>LOCADY Comdty</stp>
        <stp>PX_SETTLE</stp>
        <stp>11/05/2018</stp>
        <stp>17/01/2019</stp>
        <stp>[Qwack - LMELookBackExample.xlsx]MetalCurves!R6C39</stp>
        <stp>Array=true</stp>
        <tr r="AM6" s="1"/>
      </tp>
      <tp t="s">
        <v>43231{%f},2273.5{%f};43234{%f},2285.5{%f};43235{%f},2313{%f};43236{%f},2319.5{%f};43237{%f},2280{%f};43238{%f},2297{%f};43241{%f},2278.5{%f};43242{%f},2265.5{%f};43243{%f},2227{%f};43244{%f},2271{%f};43245{%f},2282{%f};43249{%f},2260{%f};43250{%f},2265.5{%f};43251{%f},2285.5{%f};43252{%f},2271{%f};43255{%f},2324.5{%f};43256{%f},2314.5{%f};43257{%f},2317.5{%f};43258{%f},2331{%f};43259{%f},2287.5{%f};43262{%f},2300{%f};43263{%f},2309{%f};43264{%f},2278{%f};43265{%f},2277.5{%f};43266{%f},2239.5{%f};43269{%f},2220.5{%f};43270{%f},2179{%f};43271{%f},2179{%f};43272{%f},2167{%f};43273{%f},2166{%f};43276{%f},2172{%f};43277{%f},2152{%f};43278{%f},2204.5{%f};43279{%f},2173{%f};43280{%f},2183{%f};43283{%f},2153{%f};43284{%f},2165{%f};43285{%f},2120.5{%f};43286{%f},2127{%f};43287{%f},2098.5{%f};43290{%f},2135.5{%f};43291{%f},2140.5{%f};43292{%f},2120.5{%f};43293{%f},2104.5{%f};43294{%f},2102{%f};43297{%f},2130{%f};43298{%f},2110{%f};43299{%f},2040{%f};43300{%f},2062{%f};43301{%f},2075{%f};43304{%f},2130{%f};43305{%f},2082{%f};43306{%f},2056.5{%f};43307{%f},2054{%f};43308{%f},2055{%f};43311{%f},2054{%f};43312{%f},2061{%f};43313{%f},2036{%f};43314{%f},2023{%f};43315{%f},2016{%f};43318{%f},2000.5{%f};43319{%f},2026.5{%f};43320{%f},2022{%f};43321{%f},2118{%f};43322{%f},2039{%f};43325{%f},2052{%f};43326{%f},2038{%f};43327{%f},1994.5{%f};43328{%f},1998{%f};43329{%f},1999{%f};43332{%f},2033{%f};43333{%f},2040.5{%f};43334{%f},2038.5{%f};43335{%f},2021.5{%f};43336{%f},2062{%f};43340{%f},2088{%f};43341{%f},2116{%f};43342{%f},2127{%f};43343{%f},2112{%f};43346{%f},2083.5{%f};43347{%f},2040{%f};43348{%f},2046{%f};43349{%f},2030.5{%f};43350{%f},2030{%f};43353{%f},2000{%f};43354{%f},2035{%f};43355{%f},1981.5{%f};43356{%f},2014.5{%f};43357{%f},2015.5{%f};43360{%f},1985{%f};43361{%f},2012{%f};43362{%f},1981{%f};43363{%f},2018.5{%f};43364{%f},2034{%f};43367{%f},2035{%f};43368{%f},2020{%f};43369{%f},2056.5{%f};43370{%f},2030{%f};43371{%f},2011.5{%f};43374{%f},2047.5{%f};43375{%f},2080{%f};43376{%f},2166.5{%f};43377{%f},2243.5{%f};43378{%f},2140{%f};43381{%f},2073.5{%f};43382{%f},2031.5{%f};43383{%f},2029{%f};43384{%f},2024{%f};43385{%f},2045{%f};43388{%f},2028{%f};43389{%f},2022{%f};43390{%f},2018{%f};43391{%f},2007.5{%f};43392{%f},2022.5{%f};43395{%f},2002.5{%f};43396{%f},1997{%f};43397{%f},1987.5{%f};43398{%f},1981{%f};43399{%f},1961{%f};43402{%f},1980.5{%f};43403{%f},1952{%f};43404{%f},1946{%f};43405{%f},1961{%f};43406{%f},1967{%f};43409{%f},1959{%f};43410{%f},1950{%f};43411{%f},1951.5{%f};43412{%f},1977{%f};43413{%f},1964.5{%f};43416{%f},1934{%f};43417{%f},1925{%f};43418{%f},1931{%f};43419{%f},1917{%f};43420{%f},1914{%f};43423{%f},1918{%f};43424{%f},1927{%f};43425{%f},1945{%f};43426{%f},1941.5{%f};43427{%f},1922.5{%f};43430{%f},1920{%f};43431{%f},1925{%f};43432{%f},1912.5{%f};43433{%f},1933{%f};43434{%f},1935{%f};43437{%f},1982.5{%f};43438{%f},1985{%f};43439{%f},1966.5{%f};43440{%f},1945{%f};43441{%f},1962{%f};43444{%f},1951{%f};43445{%f},1949.5{%f};43446{%f},1928{%f};43447{%f},1924{%f};43448{%f},1908{%f};43451{%f},1937.5{%f};43452{%f},1940{%f};43453{%f},1928{%f};43454{%f},1923.5{%f};43455{%f},1920{%f};43458{%f},1898.5{%f};43461{%f},1898{%f};43462{%f},1881{%f};43465{%f},1869.5{%f};43467{%f},1858{%f};43468{%f},1825.5{%f};43469{%f},1879{%f};43472{%f},1858{%f};43473{%f},1837{%f};43474{%f},1842{%f};43475{%f},1844{%f};43476{%f},1816{%f};43479{%f},1775.5{%f};43480{%f},1810.5{%f};43481{%f},1839.5{%f};43482{%f},1804{%f}##BDH_RS##</v>
        <stp/>
        <stp>##V3_BDHV12</stp>
        <stp>LOAHDY Comdty</stp>
        <stp>PX_SETTLE</stp>
        <stp>11/05/2018</stp>
        <stp>17/01/2019</stp>
        <stp>[Qwack - LMELookBackExample.xlsx]MetalCurves!R6C38</stp>
        <stp>Array=true</stp>
        <tr r="AL6" s="1"/>
      </tp>
      <tp t="s">
        <v>43231{%f},3080{%f};43234{%f},3020.5{%f};43235{%f},3060.5{%f};43236{%f},3055{%f};43237{%f},3053{%f};43238{%f},3080.5{%f};43241{%f},3098{%f};43242{%f},3038.5{%f};43243{%f},3006{%f};43244{%f},3022{%f};43245{%f},3048{%f};43249{%f},3080{%f};43250{%f},3107{%f};43251{%f},3100{%f};43252{%f},3089{%f};43255{%f},3094{%f};43256{%f},3175{%f};43257{%f},3205{%f};43258{%f},3215{%f};43259{%f},3183.5{%f};43262{%f},3221{%f};43263{%f},3229{%f};43264{%f},3228{%f};43265{%f},3220{%f};43266{%f},3189{%f};43269{%f},3108{%f};43270{%f},3044{%f};43271{%f},3056{%f};43272{%f},3021.5{%f};43273{%f},2993{%f};43276{%f},2954{%f};43277{%f},2895{%f};43278{%f},2921{%f};43279{%f},2938{%f};43280{%f},2948{%f};43283{%f},2915{%f};43284{%f},2883{%f};43285{%f},2797{%f};43286{%f},2758{%f};43287{%f},2759{%f};43290{%f},2719.5{%f};43291{%f},2658{%f};43292{%f},2574{%f};43293{%f},2598{%f};43294{%f},2607{%f};43297{%f},2527{%f};43298{%f},2548{%f};43299{%f},2583{%f};43300{%f},2563{%f};43301{%f},2635{%f};43304{%f},2618.5{%f};43305{%f},2630{%f};43306{%f},2655{%f};43307{%f},2626{%f};43308{%f},2618{%f};43311{%f},2590{%f};43312{%f},2630{%f};43313{%f},2628{%f};43314{%f},2617{%f};43315{%f},2651{%f};43318{%f},2586{%f};43319{%f},2648{%f};43320{%f},2656{%f};43321{%f},2684.5{%f};43322{%f},2552.5{%f};43325{%f},2492.5{%f};43326{%f},2458{%f};43327{%f},2325{%f};43328{%f},2338{%f};43329{%f},2360{%f};43332{%f},2382{%f};43333{%f},2434{%f};43334{%f},2439{%f};43335{%f},2442{%f};43336{%f},2508{%f};43340{%f},2535{%f};43341{%f},2506{%f};43342{%f},2485{%f};43343{%f},2504{%f};43346{%f},2475{%f};43347{%f},2435.5{%f};43348{%f},2436.5{%f};43349{%f},2470.5{%f};43350{%f},2412{%f};43353{%f},2406{%f};43354{%f},2338.5{%f};43355{%f},2355{%f};43356{%f},2369{%f};43357{%f},2327.5{%f};43360{%f},2287{%f};43361{%f},2347{%f};43362{%f},2399{%f};43363{%f},2436{%f};43364{%f},2441{%f};43367{%f},2531{%f};43368{%f},2526.5{%f};43369{%f},2546{%f};43370{%f},2552{%f};43371{%f},2573{%f};43374{%f},2619{%f};43375{%f},2693{%f};43376{%f},2633{%f};43377{%f},2696{%f};43378{%f},2645{%f};43381{%f},2649{%f};43382{%f},2691.5{%f};43383{%f},2697.5{%f};43384{%f},2638{%f};43385{%f},2677{%f};43388{%f},2662{%f};43389{%f},2630{%f};43390{%f},2653{%f};43391{%f},2687{%f};43392{%f},2696{%f};43395{%f},2724{%f};43396{%f},2698{%f};43397{%f},2740{%f};43398{%f},2704{%f};43399{%f},2686{%f};43402{%f},2695{%f};43403{%f},2649{%f};43404{%f},2590{%f};43405{%f},2585{%f};43406{%f},2653.5{%f};43409{%f},2550{%f};43410{%f},2572{%f};43411{%f},2522{%f};43412{%f},2521.5{%f};43413{%f},2556{%f};43416{%f},2548{%f};43417{%f},2587{%f};43418{%f},2542{%f};43419{%f},2655{%f};43420{%f},2641{%f};43423{%f},2691{%f};43424{%f},2698{%f};43425{%f},2670{%f};43426{%f},2658{%f};43427{%f},2630.5{%f};43430{%f},2560{%f};43431{%f},2506{%f};43432{%f},2515{%f};43433{%f},2553{%f};43434{%f},2628.5{%f};43437{%f},2675{%f};43438{%f},2740{%f};43439{%f},2705.5{%f};43440{%f},2692{%f};43441{%f},2709{%f};43444{%f},2678{%f};43445{%f},2675{%f};43446{%f},2664{%f};43447{%f},2685{%f};43448{%f},2560{%f};43451{%f},2580{%f};43452{%f},2600{%f};43453{%f},2596{%f};43454{%f},2600{%f};43455{%f},2585{%f};43458{%f},2536{%f};43461{%f},2553{%f};43462{%f},2542.5{%f};43465{%f},2510.5{%f};43467{%f},2462{%f};43468{%f},2480{%f};43469{%f},2505{%f};43472{%f},2535{%f};43473{%f},2541{%f};43474{%f},2532{%f};43475{%f},2476{%f};43476{%f},2470{%f};43479{%f},2467.5{%f};43480{%f},2472.5{%f};43481{%f},2490{%f};43482{%f},2502{%f}##BDH_RS##</v>
        <stp/>
        <stp>##V3_BDHV12</stp>
        <stp>LOZSDY Comdty</stp>
        <stp>PX_SETTLE</stp>
        <stp>11/05/2018</stp>
        <stp>17/01/2019</stp>
        <stp>[Qwack - LMELookBackExample.xlsx]MetalCurves!R6C40</stp>
        <stp>Array=true</stp>
        <tr r="AN6" s="1"/>
      </tp>
      <tp>
        <v>97.375</v>
        <stp/>
        <stp>##V3_BDPV12</stp>
        <stp>EDZ0 Comdty</stp>
        <stp>PX_LAST</stp>
        <stp>[Qwack - LMELookBackExample.xlsx]FundingFx!R9C8</stp>
        <tr r="H9" s="2"/>
      </tp>
      <tp>
        <v>18.639837265014648</v>
        <stp/>
        <stp>##V3_BDPV12</stp>
        <stp>LA JUN19 25DP VOL LME Comdty</stp>
        <stp>PX_LAST</stp>
        <stp>[Qwack - LMELookBackExample.xlsx]MetalCurves!R10C26</stp>
        <tr r="Z10" s="1"/>
      </tp>
      <tp>
        <v>19.289449691772461</v>
        <stp/>
        <stp>##V3_BDPV12</stp>
        <stp>LA JUN19 25DC VOL LME Comdty</stp>
        <stp>PX_LAST</stp>
        <stp>[Qwack - LMELookBackExample.xlsx]MetalCurves!R10C28</stp>
        <tr r="AB10" s="1"/>
      </tp>
      <tp>
        <v>18.869468688964844</v>
        <stp/>
        <stp>##V3_BDPV12</stp>
        <stp>LA JAN22 25DC VOL LME Comdty</stp>
        <stp>PX_LAST</stp>
        <stp>[Qwack - LMELookBackExample.xlsx]MetalCurves!R41C28</stp>
        <tr r="AB41" s="1"/>
      </tp>
      <tp>
        <v>18.959487915039063</v>
        <stp/>
        <stp>##V3_BDPV12</stp>
        <stp>LA JAN21 25DC VOL LME Comdty</stp>
        <stp>PX_LAST</stp>
        <stp>[Qwack - LMELookBackExample.xlsx]MetalCurves!R29C28</stp>
        <tr r="AB29" s="1"/>
      </tp>
      <tp>
        <v>19.299427032470703</v>
        <stp/>
        <stp>##V3_BDPV12</stp>
        <stp>LA JUN20 25DC VOL LME Comdty</stp>
        <stp>PX_LAST</stp>
        <stp>[Qwack - LMELookBackExample.xlsx]MetalCurves!R22C28</stp>
        <tr r="AB22" s="1"/>
      </tp>
      <tp>
        <v>18.849485397338867</v>
        <stp/>
        <stp>##V3_BDPV12</stp>
        <stp>LA JUN21 25DC VOL LME Comdty</stp>
        <stp>PX_LAST</stp>
        <stp>[Qwack - LMELookBackExample.xlsx]MetalCurves!R34C28</stp>
        <tr r="AB34" s="1"/>
      </tp>
      <tp>
        <v>19.339366912841797</v>
        <stp/>
        <stp>##V3_BDPV12</stp>
        <stp>LA JAN20 25DC VOL LME Comdty</stp>
        <stp>PX_LAST</stp>
        <stp>[Qwack - LMELookBackExample.xlsx]MetalCurves!R17C28</stp>
        <tr r="AB17" s="1"/>
      </tp>
      <tp>
        <v>18.569818496704102</v>
        <stp/>
        <stp>##V3_BDPV12</stp>
        <stp>LA JAN20 25DP VOL LME Comdty</stp>
        <stp>PX_LAST</stp>
        <stp>[Qwack - LMELookBackExample.xlsx]MetalCurves!R17C26</stp>
        <tr r="Z17" s="1"/>
      </tp>
      <tp>
        <v>18.619804382324219</v>
        <stp/>
        <stp>##V3_BDPV12</stp>
        <stp>LA JAN21 25DP VOL LME Comdty</stp>
        <stp>PX_LAST</stp>
        <stp>[Qwack - LMELookBackExample.xlsx]MetalCurves!R29C26</stp>
        <tr r="Z29" s="1"/>
      </tp>
      <tp>
        <v>18.629817962646484</v>
        <stp/>
        <stp>##V3_BDPV12</stp>
        <stp>LA JUN20 25DP VOL LME Comdty</stp>
        <stp>PX_LAST</stp>
        <stp>[Qwack - LMELookBackExample.xlsx]MetalCurves!R22C26</stp>
        <tr r="Z22" s="1"/>
      </tp>
      <tp>
        <v>18.589809417724609</v>
        <stp/>
        <stp>##V3_BDPV12</stp>
        <stp>LA JUN21 25DP VOL LME Comdty</stp>
        <stp>PX_LAST</stp>
        <stp>[Qwack - LMELookBackExample.xlsx]MetalCurves!R34C26</stp>
        <tr r="Z34" s="1"/>
      </tp>
      <tp>
        <v>18.689817428588867</v>
        <stp/>
        <stp>##V3_BDPV12</stp>
        <stp>LA JAN22 25DP VOL LME Comdty</stp>
        <stp>PX_LAST</stp>
        <stp>[Qwack - LMELookBackExample.xlsx]MetalCurves!R41C26</stp>
        <tr r="Z41" s="1"/>
      </tp>
      <tp>
        <v>97.415000000000006</v>
        <stp/>
        <stp>##V3_BDPV12</stp>
        <stp>EDH1 Comdty</stp>
        <stp>PX_LAST</stp>
        <stp>[Qwack - LMELookBackExample.xlsx]FundingFx!R10C8</stp>
        <tr r="H10" s="2"/>
      </tp>
      <tp>
        <v>97.225000000000009</v>
        <stp/>
        <stp>##V3_BDPV12</stp>
        <stp>EDU3 Comdty</stp>
        <stp>PX_LAST</stp>
        <stp>[Qwack - LMELookBackExample.xlsx]FundingFx!R20C8</stp>
        <tr r="H20" s="2"/>
      </tp>
      <tp>
        <v>29.289901733398438</v>
        <stp/>
        <stp>##V3_BDPV12</stp>
        <stp>LN OCT19 50D VOL LME Comdty</stp>
        <stp>PX_LAST</stp>
        <stp>[Qwack - LMELookBackExample.xlsx]MetalCurves!R14C36</stp>
        <tr r="AJ14" s="1"/>
      </tp>
      <tp>
        <v>29.889852523803711</v>
        <stp/>
        <stp>##V3_BDPV12</stp>
        <stp>LN OCT20 50D VOL LME Comdty</stp>
        <stp>PX_LAST</stp>
        <stp>[Qwack - LMELookBackExample.xlsx]MetalCurves!R26C36</stp>
        <tr r="AJ26" s="1"/>
      </tp>
      <tp>
        <v>18.409975051879883</v>
        <stp/>
        <stp>##V3_BDPV12</stp>
        <stp>LA OCT19 50D VOL LME Comdty</stp>
        <stp>PX_LAST</stp>
        <stp>[Qwack - LMELookBackExample.xlsx]MetalCurves!R14C27</stp>
        <tr r="AA14" s="1"/>
      </tp>
      <tp>
        <v>18.239965438842773</v>
        <stp/>
        <stp>##V3_BDPV12</stp>
        <stp>LA OCT20 50D VOL LME Comdty</stp>
        <stp>PX_LAST</stp>
        <stp>[Qwack - LMELookBackExample.xlsx]MetalCurves!R26C27</stp>
        <tr r="AA26" s="1"/>
      </tp>
      <tp>
        <v>18.129978179931641</v>
        <stp/>
        <stp>##V3_BDPV12</stp>
        <stp>LA OCT21 50D VOL LME Comdty</stp>
        <stp>PX_LAST</stp>
        <stp>[Qwack - LMELookBackExample.xlsx]MetalCurves!R38C27</stp>
        <tr r="AA38" s="1"/>
      </tp>
      <tp>
        <v>24.110057830810547</v>
        <stp/>
        <stp>##V3_BDPV12</stp>
        <stp>LX OCT19 50D VOL LME Comdty</stp>
        <stp>PX_LAST</stp>
        <stp>[Qwack - LMELookBackExample.xlsx]MetalCurves!R14C35</stp>
        <tr r="AI14" s="1"/>
      </tp>
      <tp>
        <v>23.940130233764648</v>
        <stp/>
        <stp>##V3_BDPV12</stp>
        <stp>LX OCT20 50D VOL LME Comdty</stp>
        <stp>PX_LAST</stp>
        <stp>[Qwack - LMELookBackExample.xlsx]MetalCurves!R26C35</stp>
        <tr r="AI26" s="1"/>
      </tp>
      <tp>
        <v>19.92010498046875</v>
        <stp/>
        <stp>##V3_BDPV12</stp>
        <stp>LP OCT21 50D VOL LME Comdty</stp>
        <stp>PX_LAST</stp>
        <stp>[Qwack - LMELookBackExample.xlsx]MetalCurves!R38C32</stp>
        <tr r="AF38" s="1"/>
      </tp>
      <tp>
        <v>19.360034942626953</v>
        <stp/>
        <stp>##V3_BDPV12</stp>
        <stp>LP OCT19 50D VOL LME Comdty</stp>
        <stp>PX_LAST</stp>
        <stp>[Qwack - LMELookBackExample.xlsx]MetalCurves!R14C32</stp>
        <tr r="AF14" s="1"/>
      </tp>
      <tp>
        <v>19.920080184936523</v>
        <stp/>
        <stp>##V3_BDPV12</stp>
        <stp>LP OCT20 50D VOL LME Comdty</stp>
        <stp>PX_LAST</stp>
        <stp>[Qwack - LMELookBackExample.xlsx]MetalCurves!R26C32</stp>
        <tr r="AF26" s="1"/>
      </tp>
      <tp>
        <v>97.31</v>
        <stp/>
        <stp>##V3_BDPV12</stp>
        <stp>EDZ2 Comdty</stp>
        <stp>PX_LAST</stp>
        <stp>[Qwack - LMELookBackExample.xlsx]FundingFx!R17C8</stp>
        <tr r="H17" s="2"/>
      </tp>
      <tp>
        <v>2.63</v>
        <stp/>
        <stp>##V3_BDPV12</stp>
        <stp>XAUSR3m Curncy</stp>
        <stp>PX_LAST</stp>
        <stp>[Qwack - LMELookBackExample.xlsx]MetalCurves!R67C3</stp>
        <tr r="C67" s="1"/>
      </tp>
      <tp>
        <v>10.845000000000001</v>
        <stp/>
        <stp>##V3_BDPV12</stp>
        <stp>XAUUSDV6m Comdty</stp>
        <stp>PX_LAST</stp>
        <stp>[Qwack - LMELookBackExample.xlsx]MetalCurves!R68C7</stp>
        <tr r="G68" s="1"/>
      </tp>
      <tp>
        <v>4.0225</v>
        <stp/>
        <stp>##V3_BDPV12</stp>
        <stp>XPDUSD10B9m Comdty</stp>
        <stp>PX_LAST</stp>
        <stp>[Qwack - LMELookBackExample.xlsx]MetalCurves!R69C19</stp>
        <tr r="S69" s="1"/>
      </tp>
      <tp>
        <v>4.1399999999999997</v>
        <stp/>
        <stp>##V3_BDPV12</stp>
        <stp>XPDUSD10B1y Comdty</stp>
        <stp>PX_LAST</stp>
        <stp>[Qwack - LMELookBackExample.xlsx]MetalCurves!R70C19</stp>
        <tr r="S70" s="1"/>
      </tp>
      <tp>
        <v>5.6449999999999996</v>
        <stp/>
        <stp>##V3_BDPV12</stp>
        <stp>XPDUSD10B1w Comdty</stp>
        <stp>PX_LAST</stp>
        <stp>[Qwack - LMELookBackExample.xlsx]MetalCurves!R64C19</stp>
        <tr r="S64" s="1"/>
      </tp>
      <tp>
        <v>5.82</v>
        <stp/>
        <stp>##V3_BDPV12</stp>
        <stp>XPDUSD10B1m Comdty</stp>
        <stp>PX_LAST</stp>
        <stp>[Qwack - LMELookBackExample.xlsx]MetalCurves!R65C19</stp>
        <tr r="S65" s="1"/>
      </tp>
      <tp>
        <v>4.7975000000000003</v>
        <stp/>
        <stp>##V3_BDPV12</stp>
        <stp>XPDUSD10B3y Comdty</stp>
        <stp>PX_LAST</stp>
        <stp>[Qwack - LMELookBackExample.xlsx]MetalCurves!R73C19</stp>
        <tr r="S73" s="1"/>
      </tp>
      <tp>
        <v>5.53</v>
        <stp/>
        <stp>##V3_BDPV12</stp>
        <stp>XPDUSD10B2m Comdty</stp>
        <stp>PX_LAST</stp>
        <stp>[Qwack - LMELookBackExample.xlsx]MetalCurves!R66C19</stp>
        <tr r="S66" s="1"/>
      </tp>
      <tp>
        <v>4.8075000000000001</v>
        <stp/>
        <stp>##V3_BDPV12</stp>
        <stp>XPDUSD10B2y Comdty</stp>
        <stp>PX_LAST</stp>
        <stp>[Qwack - LMELookBackExample.xlsx]MetalCurves!R72C19</stp>
        <tr r="S72" s="1"/>
      </tp>
      <tp>
        <v>5.2350000000000003</v>
        <stp/>
        <stp>##V3_BDPV12</stp>
        <stp>XPDUSD10B3m Comdty</stp>
        <stp>PX_LAST</stp>
        <stp>[Qwack - LMELookBackExample.xlsx]MetalCurves!R67C19</stp>
        <tr r="S67" s="1"/>
      </tp>
      <tp>
        <v>4.3324999999999996</v>
        <stp/>
        <stp>##V3_BDPV12</stp>
        <stp>XPDUSD10B5y Comdty</stp>
        <stp>PX_LAST</stp>
        <stp>[Qwack - LMELookBackExample.xlsx]MetalCurves!R75C19</stp>
        <tr r="S75" s="1"/>
      </tp>
      <tp>
        <v>4.3250000000000002</v>
        <stp/>
        <stp>##V3_BDPV12</stp>
        <stp>XPDUSD10B4y Comdty</stp>
        <stp>PX_LAST</stp>
        <stp>[Qwack - LMELookBackExample.xlsx]MetalCurves!R74C19</stp>
        <tr r="S74" s="1"/>
      </tp>
      <tp>
        <v>4.0149999999999997</v>
        <stp/>
        <stp>##V3_BDPV12</stp>
        <stp>XPDUSD10B6m Comdty</stp>
        <stp>PX_LAST</stp>
        <stp>[Qwack - LMELookBackExample.xlsx]MetalCurves!R68C19</stp>
        <tr r="S68" s="1"/>
      </tp>
      <tp>
        <v>1.67</v>
        <stp/>
        <stp>##V3_BDPV12</stp>
        <stp>XAUUSD10B1m Comdty</stp>
        <stp>PX_LAST</stp>
        <stp>[Qwack - LMELookBackExample.xlsx]MetalCurves!R65C11</stp>
        <tr r="K65" s="1"/>
      </tp>
      <tp>
        <v>1.5449999999999999</v>
        <stp/>
        <stp>##V3_BDPV12</stp>
        <stp>XAUUSD10B1w Comdty</stp>
        <stp>PX_LAST</stp>
        <stp>[Qwack - LMELookBackExample.xlsx]MetalCurves!R64C11</stp>
        <tr r="K64" s="1"/>
      </tp>
      <tp>
        <v>2.8450000000000002</v>
        <stp/>
        <stp>##V3_BDPV12</stp>
        <stp>XAUUSD10B1y Comdty</stp>
        <stp>PX_LAST</stp>
        <stp>[Qwack - LMELookBackExample.xlsx]MetalCurves!R70C11</stp>
        <tr r="K70" s="1"/>
      </tp>
      <tp>
        <v>1.94</v>
        <stp/>
        <stp>##V3_BDPV12</stp>
        <stp>XAUUSD10B3m Comdty</stp>
        <stp>PX_LAST</stp>
        <stp>[Qwack - LMELookBackExample.xlsx]MetalCurves!R67C11</stp>
        <tr r="K67" s="1"/>
      </tp>
      <tp>
        <v>3.0249999999999999</v>
        <stp/>
        <stp>##V3_BDPV12</stp>
        <stp>XAUUSD10B2y Comdty</stp>
        <stp>PX_LAST</stp>
        <stp>[Qwack - LMELookBackExample.xlsx]MetalCurves!R72C11</stp>
        <tr r="K72" s="1"/>
      </tp>
      <tp>
        <v>1.7250000000000001</v>
        <stp/>
        <stp>##V3_BDPV12</stp>
        <stp>XAUUSD10B2m Comdty</stp>
        <stp>PX_LAST</stp>
        <stp>[Qwack - LMELookBackExample.xlsx]MetalCurves!R66C11</stp>
        <tr r="K66" s="1"/>
      </tp>
      <tp>
        <v>2.9950000000000001</v>
        <stp/>
        <stp>##V3_BDPV12</stp>
        <stp>XAUUSD10B3y Comdty</stp>
        <stp>PX_LAST</stp>
        <stp>[Qwack - LMELookBackExample.xlsx]MetalCurves!R73C11</stp>
        <tr r="K73" s="1"/>
      </tp>
      <tp>
        <v>3.0024999999999999</v>
        <stp/>
        <stp>##V3_BDPV12</stp>
        <stp>XAUUSD10B4y Comdty</stp>
        <stp>PX_LAST</stp>
        <stp>[Qwack - LMELookBackExample.xlsx]MetalCurves!R74C11</stp>
        <tr r="K74" s="1"/>
      </tp>
      <tp>
        <v>2.9224999999999999</v>
        <stp/>
        <stp>##V3_BDPV12</stp>
        <stp>XAUUSD10B5y Comdty</stp>
        <stp>PX_LAST</stp>
        <stp>[Qwack - LMELookBackExample.xlsx]MetalCurves!R75C11</stp>
        <tr r="K75" s="1"/>
      </tp>
      <tp>
        <v>2.2450000000000001</v>
        <stp/>
        <stp>##V3_BDPV12</stp>
        <stp>XAUUSD10B6m Comdty</stp>
        <stp>PX_LAST</stp>
        <stp>[Qwack - LMELookBackExample.xlsx]MetalCurves!R68C11</stp>
        <tr r="K68" s="1"/>
      </tp>
      <tp>
        <v>2.5649999999999999</v>
        <stp/>
        <stp>##V3_BDPV12</stp>
        <stp>XAUUSD10B9m Comdty</stp>
        <stp>PX_LAST</stp>
        <stp>[Qwack - LMELookBackExample.xlsx]MetalCurves!R69C11</stp>
        <tr r="K69" s="1"/>
      </tp>
      <tp>
        <v>13.6</v>
        <stp/>
        <stp>##V3_BDPV12</stp>
        <stp>XPDUSD10R6m Comdty</stp>
        <stp>PX_LAST</stp>
        <stp>[Qwack - LMELookBackExample.xlsx]MetalCurves!R68C17</stp>
        <tr r="Q68" s="1"/>
      </tp>
      <tp>
        <v>15.265000000000001</v>
        <stp/>
        <stp>##V3_BDPV12</stp>
        <stp>XPDUSD10R5y Comdty</stp>
        <stp>PX_LAST</stp>
        <stp>[Qwack - LMELookBackExample.xlsx]MetalCurves!R75C17</stp>
        <tr r="Q75" s="1"/>
      </tp>
      <tp>
        <v>15.62</v>
        <stp/>
        <stp>##V3_BDPV12</stp>
        <stp>XPDUSD10R4y Comdty</stp>
        <stp>PX_LAST</stp>
        <stp>[Qwack - LMELookBackExample.xlsx]MetalCurves!R74C17</stp>
        <tr r="Q74" s="1"/>
      </tp>
      <tp>
        <v>15.975</v>
        <stp/>
        <stp>##V3_BDPV12</stp>
        <stp>XPDUSD10R3y Comdty</stp>
        <stp>PX_LAST</stp>
        <stp>[Qwack - LMELookBackExample.xlsx]MetalCurves!R73C17</stp>
        <tr r="Q73" s="1"/>
      </tp>
      <tp>
        <v>13.2</v>
        <stp/>
        <stp>##V3_BDPV12</stp>
        <stp>XPDUSD10R2m Comdty</stp>
        <stp>PX_LAST</stp>
        <stp>[Qwack - LMELookBackExample.xlsx]MetalCurves!R66C17</stp>
        <tr r="Q66" s="1"/>
      </tp>
      <tp>
        <v>16.684999999999999</v>
        <stp/>
        <stp>##V3_BDPV12</stp>
        <stp>XPDUSD10R2y Comdty</stp>
        <stp>PX_LAST</stp>
        <stp>[Qwack - LMELookBackExample.xlsx]MetalCurves!R72C17</stp>
        <tr r="Q72" s="1"/>
      </tp>
      <tp>
        <v>13.4</v>
        <stp/>
        <stp>##V3_BDPV12</stp>
        <stp>XPDUSD10R3m Comdty</stp>
        <stp>PX_LAST</stp>
        <stp>[Qwack - LMELookBackExample.xlsx]MetalCurves!R67C17</stp>
        <tr r="Q67" s="1"/>
      </tp>
      <tp>
        <v>14</v>
        <stp/>
        <stp>##V3_BDPV12</stp>
        <stp>XPDUSD10R1y Comdty</stp>
        <stp>PX_LAST</stp>
        <stp>[Qwack - LMELookBackExample.xlsx]MetalCurves!R70C17</stp>
        <tr r="Q70" s="1"/>
      </tp>
      <tp>
        <v>14</v>
        <stp/>
        <stp>##V3_BDPV12</stp>
        <stp>XPDUSD10R1w Comdty</stp>
        <stp>PX_LAST</stp>
        <stp>[Qwack - LMELookBackExample.xlsx]MetalCurves!R64C17</stp>
        <tr r="Q64" s="1"/>
      </tp>
      <tp>
        <v>13</v>
        <stp/>
        <stp>##V3_BDPV12</stp>
        <stp>XPDUSD10R1m Comdty</stp>
        <stp>PX_LAST</stp>
        <stp>[Qwack - LMELookBackExample.xlsx]MetalCurves!R65C17</stp>
        <tr r="Q65" s="1"/>
      </tp>
      <tp>
        <v>13.8</v>
        <stp/>
        <stp>##V3_BDPV12</stp>
        <stp>XPDUSD10R9m Comdty</stp>
        <stp>PX_LAST</stp>
        <stp>[Qwack - LMELookBackExample.xlsx]MetalCurves!R69C17</stp>
        <tr r="Q69" s="1"/>
      </tp>
      <tp>
        <v>20.13970947265625</v>
        <stp/>
        <stp>##V3_BDPV12</stp>
        <stp>LP MAY20 25DC VOL LME Comdty</stp>
        <stp>PX_LAST</stp>
        <stp>[Qwack - LMELookBackExample.xlsx]MetalCurves!R21C33</stp>
        <tr r="AG21" s="1"/>
      </tp>
      <tp>
        <v>20.329729080200195</v>
        <stp/>
        <stp>##V3_BDPV12</stp>
        <stp>LP MAY21 25DC VOL LME Comdty</stp>
        <stp>PX_LAST</stp>
        <stp>[Qwack - LMELookBackExample.xlsx]MetalCurves!R33C33</stp>
        <tr r="AG33" s="1"/>
      </tp>
      <tp>
        <v>21.949560165405273</v>
        <stp/>
        <stp>##V3_BDPV12</stp>
        <stp>LP MAY21 25DP VOL LME Comdty</stp>
        <stp>PX_LAST</stp>
        <stp>[Qwack - LMELookBackExample.xlsx]MetalCurves!R33C31</stp>
        <tr r="AE33" s="1"/>
      </tp>
      <tp>
        <v>21.479522705078125</v>
        <stp/>
        <stp>##V3_BDPV12</stp>
        <stp>LP MAY20 25DP VOL LME Comdty</stp>
        <stp>PX_LAST</stp>
        <stp>[Qwack - LMELookBackExample.xlsx]MetalCurves!R21C31</stp>
        <tr r="AE21" s="1"/>
      </tp>
      <tp>
        <v>20.359701156616211</v>
        <stp/>
        <stp>##V3_BDPV12</stp>
        <stp>LP MAY22 25DC VOL LME Comdty</stp>
        <stp>PX_LAST</stp>
        <stp>[Qwack - LMELookBackExample.xlsx]MetalCurves!R45C33</stp>
        <tr r="AG45" s="1"/>
      </tp>
      <tp>
        <v>22.019636154174805</v>
        <stp/>
        <stp>##V3_BDPV12</stp>
        <stp>LP MAY22 25DP VOL LME Comdty</stp>
        <stp>PX_LAST</stp>
        <stp>[Qwack - LMELookBackExample.xlsx]MetalCurves!R45C31</stp>
        <tr r="AE45" s="1"/>
      </tp>
      <tp>
        <v>97.344999999999999</v>
        <stp/>
        <stp>##V3_BDPV12</stp>
        <stp>EDU2 Comdty</stp>
        <stp>PX_LAST</stp>
        <stp>[Qwack - LMELookBackExample.xlsx]FundingFx!R16C8</stp>
        <tr r="H16" s="2"/>
      </tp>
      <tp>
        <v>24.090070724487305</v>
        <stp/>
        <stp>##V3_BDPV12</stp>
        <stp>LX DEC19 50D VOL LME Comdty</stp>
        <stp>PX_LAST</stp>
        <stp>[Qwack - LMELookBackExample.xlsx]MetalCurves!R16C35</stp>
        <tr r="AI16" s="1"/>
      </tp>
      <tp>
        <v>23.930135726928711</v>
        <stp/>
        <stp>##V3_BDPV12</stp>
        <stp>LX DEC20 50D VOL LME Comdty</stp>
        <stp>PX_LAST</stp>
        <stp>[Qwack - LMELookBackExample.xlsx]MetalCurves!R28C35</stp>
        <tr r="AI28" s="1"/>
      </tp>
      <tp>
        <v>23.950143814086914</v>
        <stp/>
        <stp>##V3_BDPV12</stp>
        <stp>LX FEB21 50D VOL LME Comdty</stp>
        <stp>PX_LAST</stp>
        <stp>[Qwack - LMELookBackExample.xlsx]MetalCurves!R30C35</stp>
        <tr r="AI30" s="1"/>
      </tp>
      <tp>
        <v>24.060075759887695</v>
        <stp/>
        <stp>##V3_BDPV12</stp>
        <stp>LX FEB20 50D VOL LME Comdty</stp>
        <stp>PX_LAST</stp>
        <stp>[Qwack - LMELookBackExample.xlsx]MetalCurves!R18C35</stp>
        <tr r="AI18" s="1"/>
      </tp>
      <tp>
        <v>2.6</v>
        <stp/>
        <stp>##V3_BDPV12</stp>
        <stp>XAUSR2m Curncy</stp>
        <stp>PX_LAST</stp>
        <stp>[Qwack - LMELookBackExample.xlsx]MetalCurves!R66C3</stp>
        <tr r="C66" s="1"/>
      </tp>
      <tp>
        <v>29.879856109619141</v>
        <stp/>
        <stp>##V3_BDPV12</stp>
        <stp>LN SEP20 50D VOL LME Comdty</stp>
        <stp>PX_LAST</stp>
        <stp>[Qwack - LMELookBackExample.xlsx]MetalCurves!R25C36</stp>
        <tr r="AJ25" s="1"/>
      </tp>
      <tp>
        <v>29.109907150268555</v>
        <stp/>
        <stp>##V3_BDPV12</stp>
        <stp>LN SEP19 50D VOL LME Comdty</stp>
        <stp>PX_LAST</stp>
        <stp>[Qwack - LMELookBackExample.xlsx]MetalCurves!R13C36</stp>
        <tr r="AJ13" s="1"/>
      </tp>
      <tp>
        <v>18.269966125488281</v>
        <stp/>
        <stp>##V3_BDPV12</stp>
        <stp>LA SEP20 50D VOL LME Comdty</stp>
        <stp>PX_LAST</stp>
        <stp>[Qwack - LMELookBackExample.xlsx]MetalCurves!R25C27</stp>
        <tr r="AA25" s="1"/>
      </tp>
      <tp>
        <v>18.429975509643555</v>
        <stp/>
        <stp>##V3_BDPV12</stp>
        <stp>LA SEP19 50D VOL LME Comdty</stp>
        <stp>PX_LAST</stp>
        <stp>[Qwack - LMELookBackExample.xlsx]MetalCurves!R13C27</stp>
        <tr r="AA13" s="1"/>
      </tp>
      <tp>
        <v>18.139976501464844</v>
        <stp/>
        <stp>##V3_BDPV12</stp>
        <stp>LA SEP21 50D VOL LME Comdty</stp>
        <stp>PX_LAST</stp>
        <stp>[Qwack - LMELookBackExample.xlsx]MetalCurves!R37C27</stp>
        <tr r="AA37" s="1"/>
      </tp>
      <tp>
        <v>19.920108795166016</v>
        <stp/>
        <stp>##V3_BDPV12</stp>
        <stp>LP DEC21 50D VOL LME Comdty</stp>
        <stp>PX_LAST</stp>
        <stp>[Qwack - LMELookBackExample.xlsx]MetalCurves!R40C32</stp>
        <tr r="AF40" s="1"/>
      </tp>
      <tp>
        <v>19.640043258666992</v>
        <stp/>
        <stp>##V3_BDPV12</stp>
        <stp>LP DEC19 50D VOL LME Comdty</stp>
        <stp>PX_LAST</stp>
        <stp>[Qwack - LMELookBackExample.xlsx]MetalCurves!R16C32</stp>
        <tr r="AF16" s="1"/>
      </tp>
      <tp>
        <v>19.970083236694336</v>
        <stp/>
        <stp>##V3_BDPV12</stp>
        <stp>LP DEC20 50D VOL LME Comdty</stp>
        <stp>PX_LAST</stp>
        <stp>[Qwack - LMELookBackExample.xlsx]MetalCurves!R28C32</stp>
        <tr r="AF28" s="1"/>
      </tp>
      <tp>
        <v>19.920116424560547</v>
        <stp/>
        <stp>##V3_BDPV12</stp>
        <stp>LP FEB22 50D VOL LME Comdty</stp>
        <stp>PX_LAST</stp>
        <stp>[Qwack - LMELookBackExample.xlsx]MetalCurves!R42C32</stp>
        <tr r="AF42" s="1"/>
      </tp>
      <tp>
        <v>19.690053939819336</v>
        <stp/>
        <stp>##V3_BDPV12</stp>
        <stp>LP FEB20 50D VOL LME Comdty</stp>
        <stp>PX_LAST</stp>
        <stp>[Qwack - LMELookBackExample.xlsx]MetalCurves!R18C32</stp>
        <tr r="AF18" s="1"/>
      </tp>
      <tp>
        <v>19.970087051391602</v>
        <stp/>
        <stp>##V3_BDPV12</stp>
        <stp>LP FEB21 50D VOL LME Comdty</stp>
        <stp>PX_LAST</stp>
        <stp>[Qwack - LMELookBackExample.xlsx]MetalCurves!R30C32</stp>
        <tr r="AF30" s="1"/>
      </tp>
      <tp>
        <v>23.950126647949219</v>
        <stp/>
        <stp>##V3_BDPV12</stp>
        <stp>LX SEP20 50D VOL LME Comdty</stp>
        <stp>PX_LAST</stp>
        <stp>[Qwack - LMELookBackExample.xlsx]MetalCurves!R25C35</stp>
        <tr r="AI25" s="1"/>
      </tp>
      <tp>
        <v>24.170049667358398</v>
        <stp/>
        <stp>##V3_BDPV12</stp>
        <stp>LX SEP19 50D VOL LME Comdty</stp>
        <stp>PX_LAST</stp>
        <stp>[Qwack - LMELookBackExample.xlsx]MetalCurves!R13C35</stp>
        <tr r="AI13" s="1"/>
      </tp>
      <tp>
        <v>29.729887008666992</v>
        <stp/>
        <stp>##V3_BDPV12</stp>
        <stp>LN DEC19 50D VOL LME Comdty</stp>
        <stp>PX_LAST</stp>
        <stp>[Qwack - LMELookBackExample.xlsx]MetalCurves!R16C36</stp>
        <tr r="AJ16" s="1"/>
      </tp>
      <tp>
        <v>29.949846267700195</v>
        <stp/>
        <stp>##V3_BDPV12</stp>
        <stp>LN DEC20 50D VOL LME Comdty</stp>
        <stp>PX_LAST</stp>
        <stp>[Qwack - LMELookBackExample.xlsx]MetalCurves!R28C36</stp>
        <tr r="AJ28" s="1"/>
      </tp>
      <tp>
        <v>29.839878082275391</v>
        <stp/>
        <stp>##V3_BDPV12</stp>
        <stp>LN FEB20 50D VOL LME Comdty</stp>
        <stp>PX_LAST</stp>
        <stp>[Qwack - LMELookBackExample.xlsx]MetalCurves!R18C36</stp>
        <tr r="AJ18" s="1"/>
      </tp>
      <tp>
        <v>29.939838409423828</v>
        <stp/>
        <stp>##V3_BDPV12</stp>
        <stp>LN FEB21 50D VOL LME Comdty</stp>
        <stp>PX_LAST</stp>
        <stp>[Qwack - LMELookBackExample.xlsx]MetalCurves!R30C36</stp>
        <tr r="AJ30" s="1"/>
      </tp>
      <tp>
        <v>19.920103073120117</v>
        <stp/>
        <stp>##V3_BDPV12</stp>
        <stp>LP SEP21 50D VOL LME Comdty</stp>
        <stp>PX_LAST</stp>
        <stp>[Qwack - LMELookBackExample.xlsx]MetalCurves!R37C32</stp>
        <tr r="AF37" s="1"/>
      </tp>
      <tp>
        <v>19.900075912475586</v>
        <stp/>
        <stp>##V3_BDPV12</stp>
        <stp>LP SEP20 50D VOL LME Comdty</stp>
        <stp>PX_LAST</stp>
        <stp>[Qwack - LMELookBackExample.xlsx]MetalCurves!R25C32</stp>
        <tr r="AF25" s="1"/>
      </tp>
      <tp>
        <v>19.220027923583984</v>
        <stp/>
        <stp>##V3_BDPV12</stp>
        <stp>LP SEP19 50D VOL LME Comdty</stp>
        <stp>PX_LAST</stp>
        <stp>[Qwack - LMELookBackExample.xlsx]MetalCurves!R13C32</stp>
        <tr r="AF13" s="1"/>
      </tp>
      <tp>
        <v>18.38996696472168</v>
        <stp/>
        <stp>##V3_BDPV12</stp>
        <stp>LA DEC19 50D VOL LME Comdty</stp>
        <stp>PX_LAST</stp>
        <stp>[Qwack - LMELookBackExample.xlsx]MetalCurves!R16C27</stp>
        <tr r="AA16" s="1"/>
      </tp>
      <tp>
        <v>18.199970245361328</v>
        <stp/>
        <stp>##V3_BDPV12</stp>
        <stp>LA DEC20 50D VOL LME Comdty</stp>
        <stp>PX_LAST</stp>
        <stp>[Qwack - LMELookBackExample.xlsx]MetalCurves!R28C27</stp>
        <tr r="AA28" s="1"/>
      </tp>
      <tp>
        <v>18.109981536865234</v>
        <stp/>
        <stp>##V3_BDPV12</stp>
        <stp>LA DEC21 50D VOL LME Comdty</stp>
        <stp>PX_LAST</stp>
        <stp>[Qwack - LMELookBackExample.xlsx]MetalCurves!R40C27</stp>
        <tr r="AA40" s="1"/>
      </tp>
      <tp>
        <v>11.595000000000001</v>
        <stp/>
        <stp>##V3_BDPV12</stp>
        <stp>XAUUSDV9m Comdty</stp>
        <stp>PX_LAST</stp>
        <stp>[Qwack - LMELookBackExample.xlsx]MetalCurves!R69C7</stp>
        <tr r="G69" s="1"/>
      </tp>
      <tp>
        <v>18.379962921142578</v>
        <stp/>
        <stp>##V3_BDPV12</stp>
        <stp>LA FEB20 50D VOL LME Comdty</stp>
        <stp>PX_LAST</stp>
        <stp>[Qwack - LMELookBackExample.xlsx]MetalCurves!R18C27</stp>
        <tr r="AA18" s="1"/>
      </tp>
      <tp>
        <v>18.149971008300781</v>
        <stp/>
        <stp>##V3_BDPV12</stp>
        <stp>LA FEB21 50D VOL LME Comdty</stp>
        <stp>PX_LAST</stp>
        <stp>[Qwack - LMELookBackExample.xlsx]MetalCurves!R30C27</stp>
        <tr r="AA30" s="1"/>
      </tp>
      <tp>
        <v>18.11998176574707</v>
        <stp/>
        <stp>##V3_BDPV12</stp>
        <stp>LA FEB22 50D VOL LME Comdty</stp>
        <stp>PX_LAST</stp>
        <stp>[Qwack - LMELookBackExample.xlsx]MetalCurves!R42C27</stp>
        <tr r="AA42" s="1"/>
      </tp>
      <tp>
        <v>20.61979866027832</v>
        <stp/>
        <stp>##V3_BDPV12</stp>
        <stp>LP MAY22 10DC VOL LME Comdty</stp>
        <stp>PX_LAST</stp>
        <stp>[Qwack - LMELookBackExample.xlsx]MetalCurves!R45C34</stp>
        <tr r="AH45" s="1"/>
      </tp>
      <tp>
        <v>23.579427719116211</v>
        <stp/>
        <stp>##V3_BDPV12</stp>
        <stp>LP MAY21 10DP VOL LME Comdty</stp>
        <stp>PX_LAST</stp>
        <stp>[Qwack - LMELookBackExample.xlsx]MetalCurves!R33C30</stp>
        <tr r="AD33" s="1"/>
      </tp>
      <tp>
        <v>22.999391555786133</v>
        <stp/>
        <stp>##V3_BDPV12</stp>
        <stp>LP MAY20 10DP VOL LME Comdty</stp>
        <stp>PX_LAST</stp>
        <stp>[Qwack - LMELookBackExample.xlsx]MetalCurves!R21C30</stp>
        <tr r="AD21" s="1"/>
      </tp>
      <tp>
        <v>20.549737930297852</v>
        <stp/>
        <stp>##V3_BDPV12</stp>
        <stp>LP MAY20 10DC VOL LME Comdty</stp>
        <stp>PX_LAST</stp>
        <stp>[Qwack - LMELookBackExample.xlsx]MetalCurves!R21C34</stp>
        <tr r="AH21" s="1"/>
      </tp>
      <tp>
        <v>20.589815139770508</v>
        <stp/>
        <stp>##V3_BDPV12</stp>
        <stp>LP MAY21 10DC VOL LME Comdty</stp>
        <stp>PX_LAST</stp>
        <stp>[Qwack - LMELookBackExample.xlsx]MetalCurves!R33C34</stp>
        <tr r="AH33" s="1"/>
      </tp>
      <tp>
        <v>23.689460754394531</v>
        <stp/>
        <stp>##V3_BDPV12</stp>
        <stp>LP MAY22 10DP VOL LME Comdty</stp>
        <stp>PX_LAST</stp>
        <stp>[Qwack - LMELookBackExample.xlsx]MetalCurves!R45C30</stp>
        <tr r="AD45" s="1"/>
      </tp>
      <tp>
        <v>97.37</v>
        <stp/>
        <stp>##V3_BDPV12</stp>
        <stp>EDM2 Comdty</stp>
        <stp>PX_LAST</stp>
        <stp>[Qwack - LMELookBackExample.xlsx]FundingFx!R15C8</stp>
        <tr r="H15" s="2"/>
      </tp>
      <tp>
        <v>2.58</v>
        <stp/>
        <stp>##V3_BDPV12</stp>
        <stp>XAUSR1m Curncy</stp>
        <stp>PX_LAST</stp>
        <stp>[Qwack - LMELookBackExample.xlsx]MetalCurves!R65C3</stp>
        <tr r="C65" s="1"/>
      </tp>
      <tp>
        <v>97.385000000000005</v>
        <stp/>
        <stp>##V3_BDPV12</stp>
        <stp>EDH2 Comdty</stp>
        <stp>PX_LAST</stp>
        <stp>[Qwack - LMELookBackExample.xlsx]FundingFx!R14C8</stp>
        <tr r="H14" s="2"/>
      </tp>
      <tp>
        <v>-5</v>
        <stp/>
        <stp>##V3_BDPV12</stp>
        <stp>XPDSR2y Curncy</stp>
        <stp>PX_LAST</stp>
        <stp>[Qwack - LMELookBackExample.xlsx]MetalCurves!R81C3</stp>
        <tr r="C81" s="1"/>
      </tp>
      <tp>
        <v>97.314999999999998</v>
        <stp/>
        <stp>##V3_BDPV12</stp>
        <stp>EDH9 Comdty</stp>
        <stp>PX_LAST</stp>
        <stp>[Qwack - LMELookBackExample.xlsx]FundingFx!R2C8</stp>
        <tr r="H2" s="2"/>
      </tp>
      <tp>
        <v>19.779714584350586</v>
        <stp/>
        <stp>##V3_BDPV12</stp>
        <stp>LP OCT19 25DC VOL LME Comdty</stp>
        <stp>PX_LAST</stp>
        <stp>[Qwack - LMELookBackExample.xlsx]MetalCurves!R14C33</stp>
        <tr r="AG14" s="1"/>
      </tp>
      <tp>
        <v>20.799507141113281</v>
        <stp/>
        <stp>##V3_BDPV12</stp>
        <stp>LP OCT19 25DP VOL LME Comdty</stp>
        <stp>PX_LAST</stp>
        <stp>[Qwack - LMELookBackExample.xlsx]MetalCurves!R14C31</stp>
        <tr r="AE14" s="1"/>
      </tp>
      <tp>
        <v>21.979587554931641</v>
        <stp/>
        <stp>##V3_BDPV12</stp>
        <stp>LP OCT21 25DP VOL LME Comdty</stp>
        <stp>PX_LAST</stp>
        <stp>[Qwack - LMELookBackExample.xlsx]MetalCurves!R38C31</stp>
        <tr r="AE38" s="1"/>
      </tp>
      <tp>
        <v>21.749536514282227</v>
        <stp/>
        <stp>##V3_BDPV12</stp>
        <stp>LP OCT20 25DP VOL LME Comdty</stp>
        <stp>PX_LAST</stp>
        <stp>[Qwack - LMELookBackExample.xlsx]MetalCurves!R26C31</stp>
        <tr r="AE26" s="1"/>
      </tp>
      <tp>
        <v>20.349720001220703</v>
        <stp/>
        <stp>##V3_BDPV12</stp>
        <stp>LP OCT21 25DC VOL LME Comdty</stp>
        <stp>PX_LAST</stp>
        <stp>[Qwack - LMELookBackExample.xlsx]MetalCurves!R38C33</stp>
        <tr r="AG38" s="1"/>
      </tp>
      <tp>
        <v>20.279720306396484</v>
        <stp/>
        <stp>##V3_BDPV12</stp>
        <stp>LP OCT20 25DC VOL LME Comdty</stp>
        <stp>PX_LAST</stp>
        <stp>[Qwack - LMELookBackExample.xlsx]MetalCurves!R26C33</stp>
        <tr r="AG26" s="1"/>
      </tp>
      <tp>
        <v>20.559335708618164</v>
        <stp/>
        <stp>##V3_BDPV12</stp>
        <stp>LA AUG19 10DC VOL LME Comdty</stp>
        <stp>PX_LAST</stp>
        <stp>[Qwack - LMELookBackExample.xlsx]MetalCurves!R12C29</stp>
        <tr r="AC12" s="1"/>
      </tp>
      <tp>
        <v>19.219635009765625</v>
        <stp/>
        <stp>##V3_BDPV12</stp>
        <stp>LA AUG19 10DP VOL LME Comdty</stp>
        <stp>PX_LAST</stp>
        <stp>[Qwack - LMELookBackExample.xlsx]MetalCurves!R12C25</stp>
        <tr r="Y12" s="1"/>
      </tp>
      <tp>
        <v>97.275000000000006</v>
        <stp/>
        <stp>##V3_BDPV12</stp>
        <stp>EDM9 Comdty</stp>
        <stp>PX_LAST</stp>
        <stp>[Qwack - LMELookBackExample.xlsx]FundingFx!R3C8</stp>
        <tr r="H3" s="2"/>
      </tp>
      <tp>
        <v>22.419376373291016</v>
        <stp/>
        <stp>##V3_BDPV12</stp>
        <stp>LP NOV19 10DP VOL LME Comdty</stp>
        <stp>PX_LAST</stp>
        <stp>[Qwack - LMELookBackExample.xlsx]MetalCurves!R15C30</stp>
        <tr r="AD15" s="1"/>
      </tp>
      <tp>
        <v>20.339736938476563</v>
        <stp/>
        <stp>##V3_BDPV12</stp>
        <stp>LP NOV19 10DC VOL LME Comdty</stp>
        <stp>PX_LAST</stp>
        <stp>[Qwack - LMELookBackExample.xlsx]MetalCurves!R15C34</stp>
        <tr r="AH15" s="1"/>
      </tp>
      <tp>
        <v>23.429384231567383</v>
        <stp/>
        <stp>##V3_BDPV12</stp>
        <stp>LP NOV20 10DP VOL LME Comdty</stp>
        <stp>PX_LAST</stp>
        <stp>[Qwack - LMELookBackExample.xlsx]MetalCurves!R27C30</stp>
        <tr r="AD27" s="1"/>
      </tp>
      <tp>
        <v>23.669437408447266</v>
        <stp/>
        <stp>##V3_BDPV12</stp>
        <stp>LP NOV21 10DP VOL LME Comdty</stp>
        <stp>PX_LAST</stp>
        <stp>[Qwack - LMELookBackExample.xlsx]MetalCurves!R39C30</stp>
        <tr r="AD39" s="1"/>
      </tp>
      <tp>
        <v>20.649776458740234</v>
        <stp/>
        <stp>##V3_BDPV12</stp>
        <stp>LP NOV20 10DC VOL LME Comdty</stp>
        <stp>PX_LAST</stp>
        <stp>[Qwack - LMELookBackExample.xlsx]MetalCurves!R27C34</stp>
        <tr r="AH27" s="1"/>
      </tp>
      <tp>
        <v>20.599817276000977</v>
        <stp/>
        <stp>##V3_BDPV12</stp>
        <stp>LP NOV21 10DC VOL LME Comdty</stp>
        <stp>PX_LAST</stp>
        <stp>[Qwack - LMELookBackExample.xlsx]MetalCurves!R39C34</stp>
        <tr r="AH39" s="1"/>
      </tp>
      <tp>
        <v>19.52961540222168</v>
        <stp/>
        <stp>##V3_BDPV12</stp>
        <stp>LA AUG21 10DP VOL LME Comdty</stp>
        <stp>PX_LAST</stp>
        <stp>[Qwack - LMELookBackExample.xlsx]MetalCurves!R36C25</stp>
        <tr r="Y36" s="1"/>
      </tp>
      <tp>
        <v>19.419618606567383</v>
        <stp/>
        <stp>##V3_BDPV12</stp>
        <stp>LA AUG20 10DP VOL LME Comdty</stp>
        <stp>PX_LAST</stp>
        <stp>[Qwack - LMELookBackExample.xlsx]MetalCurves!R24C25</stp>
        <tr r="Y24" s="1"/>
      </tp>
      <tp>
        <v>20.009523391723633</v>
        <stp/>
        <stp>##V3_BDPV12</stp>
        <stp>LA AUG20 10DC VOL LME Comdty</stp>
        <stp>PX_LAST</stp>
        <stp>[Qwack - LMELookBackExample.xlsx]MetalCurves!R24C29</stp>
        <tr r="AC24" s="1"/>
      </tp>
      <tp>
        <v>19.70953369140625</v>
        <stp/>
        <stp>##V3_BDPV12</stp>
        <stp>LA AUG21 10DC VOL LME Comdty</stp>
        <stp>PX_LAST</stp>
        <stp>[Qwack - LMELookBackExample.xlsx]MetalCurves!R36C29</stp>
        <tr r="AC36" s="1"/>
      </tp>
      <tp>
        <v>8.8000000000000007</v>
        <stp/>
        <stp>##V3_BDPV12</stp>
        <stp>XAUUSDV1m Comdty</stp>
        <stp>PX_LAST</stp>
        <stp>[Qwack - LMELookBackExample.xlsx]MetalCurves!R65C7</stp>
        <tr r="G65" s="1"/>
      </tp>
      <tp>
        <v>19.899717330932617</v>
        <stp/>
        <stp>##V3_BDPV12</stp>
        <stp>LP NOV19 25DC VOL LME Comdty</stp>
        <stp>PX_LAST</stp>
        <stp>[Qwack - LMELookBackExample.xlsx]MetalCurves!R15C33</stp>
        <tr r="AG15" s="1"/>
      </tp>
      <tp>
        <v>20.989507675170898</v>
        <stp/>
        <stp>##V3_BDPV12</stp>
        <stp>LP NOV19 25DP VOL LME Comdty</stp>
        <stp>PX_LAST</stp>
        <stp>[Qwack - LMELookBackExample.xlsx]MetalCurves!R15C31</stp>
        <tr r="AE15" s="1"/>
      </tp>
      <tp>
        <v>19.299394607543945</v>
        <stp/>
        <stp>##V3_BDPV12</stp>
        <stp>LA AUG19 25DC VOL LME Comdty</stp>
        <stp>PX_LAST</stp>
        <stp>[Qwack - LMELookBackExample.xlsx]MetalCurves!R12C28</stp>
        <tr r="AB12" s="1"/>
      </tp>
      <tp>
        <v>18.569831848144531</v>
        <stp/>
        <stp>##V3_BDPV12</stp>
        <stp>LA AUG19 25DP VOL LME Comdty</stp>
        <stp>PX_LAST</stp>
        <stp>[Qwack - LMELookBackExample.xlsx]MetalCurves!R12C26</stp>
        <tr r="Z12" s="1"/>
      </tp>
      <tp>
        <v>18.669811248779297</v>
        <stp/>
        <stp>##V3_BDPV12</stp>
        <stp>LA AUG21 25DP VOL LME Comdty</stp>
        <stp>PX_LAST</stp>
        <stp>[Qwack - LMELookBackExample.xlsx]MetalCurves!R36C26</stp>
        <tr r="Z36" s="1"/>
      </tp>
      <tp>
        <v>18.639810562133789</v>
        <stp/>
        <stp>##V3_BDPV12</stp>
        <stp>LA AUG20 25DP VOL LME Comdty</stp>
        <stp>PX_LAST</stp>
        <stp>[Qwack - LMELookBackExample.xlsx]MetalCurves!R24C26</stp>
        <tr r="Z24" s="1"/>
      </tp>
      <tp>
        <v>19.199459075927734</v>
        <stp/>
        <stp>##V3_BDPV12</stp>
        <stp>LA AUG20 25DC VOL LME Comdty</stp>
        <stp>PX_LAST</stp>
        <stp>[Qwack - LMELookBackExample.xlsx]MetalCurves!R24C28</stp>
        <tr r="AB24" s="1"/>
      </tp>
      <tp>
        <v>18.919460296630859</v>
        <stp/>
        <stp>##V3_BDPV12</stp>
        <stp>LA AUG21 25DC VOL LME Comdty</stp>
        <stp>PX_LAST</stp>
        <stp>[Qwack - LMELookBackExample.xlsx]MetalCurves!R36C28</stp>
        <tr r="AB36" s="1"/>
      </tp>
      <tp>
        <v>21.789539337158203</v>
        <stp/>
        <stp>##V3_BDPV12</stp>
        <stp>LP NOV20 25DP VOL LME Comdty</stp>
        <stp>PX_LAST</stp>
        <stp>[Qwack - LMELookBackExample.xlsx]MetalCurves!R27C31</stp>
        <tr r="AE27" s="1"/>
      </tp>
      <tp>
        <v>21.979595184326172</v>
        <stp/>
        <stp>##V3_BDPV12</stp>
        <stp>LP NOV21 25DP VOL LME Comdty</stp>
        <stp>PX_LAST</stp>
        <stp>[Qwack - LMELookBackExample.xlsx]MetalCurves!R39C31</stp>
        <tr r="AE39" s="1"/>
      </tp>
      <tp>
        <v>20.309722900390625</v>
        <stp/>
        <stp>##V3_BDPV12</stp>
        <stp>LP NOV20 25DC VOL LME Comdty</stp>
        <stp>PX_LAST</stp>
        <stp>[Qwack - LMELookBackExample.xlsx]MetalCurves!R27C33</stp>
        <tr r="AG27" s="1"/>
      </tp>
      <tp>
        <v>20.34971809387207</v>
        <stp/>
        <stp>##V3_BDPV12</stp>
        <stp>LP NOV21 25DC VOL LME Comdty</stp>
        <stp>PX_LAST</stp>
        <stp>[Qwack - LMELookBackExample.xlsx]MetalCurves!R39C33</stp>
        <tr r="AG39" s="1"/>
      </tp>
      <tp>
        <v>97.254999999999995</v>
        <stp/>
        <stp>##V3_BDPV12</stp>
        <stp>EDM3 Comdty</stp>
        <stp>PX_LAST</stp>
        <stp>[Qwack - LMELookBackExample.xlsx]FundingFx!R19C8</stp>
        <tr r="H19" s="2"/>
      </tp>
      <tp>
        <v>2.67</v>
        <stp/>
        <stp>##V3_BDPV12</stp>
        <stp>XAUSR9m Curncy</stp>
        <stp>PX_LAST</stp>
        <stp>[Qwack - LMELookBackExample.xlsx]MetalCurves!R69C3</stp>
        <tr r="C69" s="1"/>
      </tp>
      <tp>
        <v>9.36</v>
        <stp/>
        <stp>##V3_BDPV12</stp>
        <stp>XAUUSDV2m Comdty</stp>
        <stp>PX_LAST</stp>
        <stp>[Qwack - LMELookBackExample.xlsx]MetalCurves!R66C7</stp>
        <tr r="G66" s="1"/>
      </tp>
      <tp>
        <v>22.229377746582031</v>
        <stp/>
        <stp>##V3_BDPV12</stp>
        <stp>LP OCT19 10DP VOL LME Comdty</stp>
        <stp>PX_LAST</stp>
        <stp>[Qwack - LMELookBackExample.xlsx]MetalCurves!R14C30</stp>
        <tr r="AD14" s="1"/>
      </tp>
      <tp>
        <v>20.199731826782227</v>
        <stp/>
        <stp>##V3_BDPV12</stp>
        <stp>LP OCT19 10DC VOL LME Comdty</stp>
        <stp>PX_LAST</stp>
        <stp>[Qwack - LMELookBackExample.xlsx]MetalCurves!R14C34</stp>
        <tr r="AH14" s="1"/>
      </tp>
      <tp>
        <v>23.66943359375</v>
        <stp/>
        <stp>##V3_BDPV12</stp>
        <stp>LP OCT21 10DP VOL LME Comdty</stp>
        <stp>PX_LAST</stp>
        <stp>[Qwack - LMELookBackExample.xlsx]MetalCurves!R38C30</stp>
        <tr r="AD38" s="1"/>
      </tp>
      <tp>
        <v>23.359384536743164</v>
        <stp/>
        <stp>##V3_BDPV12</stp>
        <stp>LP OCT20 10DP VOL LME Comdty</stp>
        <stp>PX_LAST</stp>
        <stp>[Qwack - LMELookBackExample.xlsx]MetalCurves!R26C30</stp>
        <tr r="AD26" s="1"/>
      </tp>
      <tp>
        <v>20.599819183349609</v>
        <stp/>
        <stp>##V3_BDPV12</stp>
        <stp>LP OCT21 10DC VOL LME Comdty</stp>
        <stp>PX_LAST</stp>
        <stp>[Qwack - LMELookBackExample.xlsx]MetalCurves!R38C34</stp>
        <tr r="AH38" s="1"/>
      </tp>
      <tp>
        <v>20.619768142700195</v>
        <stp/>
        <stp>##V3_BDPV12</stp>
        <stp>LP OCT20 10DC VOL LME Comdty</stp>
        <stp>PX_LAST</stp>
        <stp>[Qwack - LMELookBackExample.xlsx]MetalCurves!R26C34</stp>
        <tr r="AH26" s="1"/>
      </tp>
      <tp>
        <v>97.284999999999997</v>
        <stp/>
        <stp>##V3_BDPV12</stp>
        <stp>EDH3 Comdty</stp>
        <stp>PX_LAST</stp>
        <stp>[Qwack - LMELookBackExample.xlsx]FundingFx!R18C8</stp>
        <tr r="H18" s="2"/>
      </tp>
      <tp>
        <v>2.64</v>
        <stp/>
        <stp>##V3_BDPV12</stp>
        <stp>XAUSR6m Curncy</stp>
        <stp>PX_LAST</stp>
        <stp>[Qwack - LMELookBackExample.xlsx]MetalCurves!R68C3</stp>
        <tr r="C68" s="1"/>
      </tp>
      <tp>
        <v>9.85</v>
        <stp/>
        <stp>##V3_BDPV12</stp>
        <stp>XAUUSDV3m Comdty</stp>
        <stp>PX_LAST</stp>
        <stp>[Qwack - LMELookBackExample.xlsx]MetalCurves!R67C7</stp>
        <tr r="G67" s="1"/>
      </tp>
      <tp>
        <v>97.31</v>
        <stp/>
        <stp>##V3_BDPV12</stp>
        <stp>EDH0 Comdty</stp>
        <stp>PX_LAST</stp>
        <stp>[Qwack - LMELookBackExample.xlsx]FundingFx!R6C8</stp>
        <tr r="H6" s="2"/>
      </tp>
      <tp>
        <v>19.549631118774414</v>
        <stp/>
        <stp>##V3_BDPV12</stp>
        <stp>LA FEB22 10DP VOL LME Comdty</stp>
        <stp>PX_LAST</stp>
        <stp>[Qwack - LMELookBackExample.xlsx]MetalCurves!R42C25</stp>
        <tr r="Y42" s="1"/>
      </tp>
      <tp>
        <v>19.449611663818359</v>
        <stp/>
        <stp>##V3_BDPV12</stp>
        <stp>LA FEB21 10DP VOL LME Comdty</stp>
        <stp>PX_LAST</stp>
        <stp>[Qwack - LMELookBackExample.xlsx]MetalCurves!R30C25</stp>
        <tr r="Y30" s="1"/>
      </tp>
      <tp>
        <v>19.339595794677734</v>
        <stp/>
        <stp>##V3_BDPV12</stp>
        <stp>LA FEB20 10DP VOL LME Comdty</stp>
        <stp>PX_LAST</stp>
        <stp>[Qwack - LMELookBackExample.xlsx]MetalCurves!R18C25</stp>
        <tr r="Y18" s="1"/>
      </tp>
      <tp>
        <v>19.699550628662109</v>
        <stp/>
        <stp>##V3_BDPV12</stp>
        <stp>LA FEB21 10DC VOL LME Comdty</stp>
        <stp>PX_LAST</stp>
        <stp>[Qwack - LMELookBackExample.xlsx]MetalCurves!R30C29</stp>
        <tr r="AC30" s="1"/>
      </tp>
      <tp>
        <v>20.46937370300293</v>
        <stp/>
        <stp>##V3_BDPV12</stp>
        <stp>LA FEB20 10DC VOL LME Comdty</stp>
        <stp>PX_LAST</stp>
        <stp>[Qwack - LMELookBackExample.xlsx]MetalCurves!R18C29</stp>
        <tr r="AC18" s="1"/>
      </tp>
      <tp>
        <v>19.609546661376953</v>
        <stp/>
        <stp>##V3_BDPV12</stp>
        <stp>LA FEB22 10DC VOL LME Comdty</stp>
        <stp>PX_LAST</stp>
        <stp>[Qwack - LMELookBackExample.xlsx]MetalCurves!R42C29</stp>
        <tr r="AC42" s="1"/>
      </tp>
      <tp>
        <v>19.659708023071289</v>
        <stp/>
        <stp>##V3_BDPV12</stp>
        <stp>LP SEP19 25DC VOL LME Comdty</stp>
        <stp>PX_LAST</stp>
        <stp>[Qwack - LMELookBackExample.xlsx]MetalCurves!R13C33</stp>
        <tr r="AG13" s="1"/>
      </tp>
      <tp>
        <v>20.599504470825195</v>
        <stp/>
        <stp>##V3_BDPV12</stp>
        <stp>LP SEP19 25DP VOL LME Comdty</stp>
        <stp>PX_LAST</stp>
        <stp>[Qwack - LMELookBackExample.xlsx]MetalCurves!R13C31</stp>
        <tr r="AE13" s="1"/>
      </tp>
      <tp>
        <v>21.969579696655273</v>
        <stp/>
        <stp>##V3_BDPV12</stp>
        <stp>LP SEP21 25DP VOL LME Comdty</stp>
        <stp>PX_LAST</stp>
        <stp>[Qwack - LMELookBackExample.xlsx]MetalCurves!R37C31</stp>
        <tr r="AE37" s="1"/>
      </tp>
      <tp>
        <v>21.709531784057617</v>
        <stp/>
        <stp>##V3_BDPV12</stp>
        <stp>LP SEP20 25DP VOL LME Comdty</stp>
        <stp>PX_LAST</stp>
        <stp>[Qwack - LMELookBackExample.xlsx]MetalCurves!R25C31</stp>
        <tr r="AE25" s="1"/>
      </tp>
      <tp>
        <v>20.259714126586914</v>
        <stp/>
        <stp>##V3_BDPV12</stp>
        <stp>LP SEP20 25DC VOL LME Comdty</stp>
        <stp>PX_LAST</stp>
        <stp>[Qwack - LMELookBackExample.xlsx]MetalCurves!R25C33</stp>
        <tr r="AG25" s="1"/>
      </tp>
      <tp>
        <v>20.3397216796875</v>
        <stp/>
        <stp>##V3_BDPV12</stp>
        <stp>LP SEP21 25DC VOL LME Comdty</stp>
        <stp>PX_LAST</stp>
        <stp>[Qwack - LMELookBackExample.xlsx]MetalCurves!R37C33</stp>
        <tr r="AG37" s="1"/>
      </tp>
      <tp>
        <v>1417.78</v>
        <stp/>
        <stp>##V3_BDPV12</stp>
        <stp>XPD Curncy</stp>
        <stp>PX_LAST</stp>
        <stp>[Qwack - LMELookBackExample.xlsx]MetalCurves!R3C21</stp>
        <tr r="U3" s="1"/>
      </tp>
      <tp>
        <v>-20</v>
        <stp/>
        <stp>##V3_BDPV12</stp>
        <stp>XPDSR1w Curncy</stp>
        <stp>PX_LAST</stp>
        <stp>[Qwack - LMELookBackExample.xlsx]MetalCurves!R74C3</stp>
        <tr r="C74" s="1"/>
      </tp>
      <tp>
        <v>20.379360198974609</v>
        <stp/>
        <stp>##V3_BDPV12</stp>
        <stp>LA DEC19 10DC VOL LME Comdty</stp>
        <stp>PX_LAST</stp>
        <stp>[Qwack - LMELookBackExample.xlsx]MetalCurves!R16C29</stp>
        <tr r="AC16" s="1"/>
      </tp>
      <tp>
        <v>19.309595108032227</v>
        <stp/>
        <stp>##V3_BDPV12</stp>
        <stp>LA DEC19 10DP VOL LME Comdty</stp>
        <stp>PX_LAST</stp>
        <stp>[Qwack - LMELookBackExample.xlsx]MetalCurves!R16C25</stp>
        <tr r="Y16" s="1"/>
      </tp>
      <tp>
        <v>97.344999999999999</v>
        <stp/>
        <stp>##V3_BDPV12</stp>
        <stp>EDM0 Comdty</stp>
        <stp>PX_LAST</stp>
        <stp>[Qwack - LMELookBackExample.xlsx]FundingFx!R7C8</stp>
        <tr r="H7" s="2"/>
      </tp>
      <tp>
        <v>23.689460754394531</v>
        <stp/>
        <stp>##V3_BDPV12</stp>
        <stp>LP APR22 10DP VOL LME Comdty</stp>
        <stp>PX_LAST</stp>
        <stp>[Qwack - LMELookBackExample.xlsx]MetalCurves!R44C30</stp>
        <tr r="AD44" s="1"/>
      </tp>
      <tp>
        <v>20.519737243652344</v>
        <stp/>
        <stp>##V3_BDPV12</stp>
        <stp>LP APR20 10DC VOL LME Comdty</stp>
        <stp>PX_LAST</stp>
        <stp>[Qwack - LMELookBackExample.xlsx]MetalCurves!R20C34</stp>
        <tr r="AH20" s="1"/>
      </tp>
      <tp>
        <v>20.589815139770508</v>
        <stp/>
        <stp>##V3_BDPV12</stp>
        <stp>LP APR21 10DC VOL LME Comdty</stp>
        <stp>PX_LAST</stp>
        <stp>[Qwack - LMELookBackExample.xlsx]MetalCurves!R32C34</stp>
        <tr r="AH32" s="1"/>
      </tp>
      <tp>
        <v>23.569427490234375</v>
        <stp/>
        <stp>##V3_BDPV12</stp>
        <stp>LP APR21 10DP VOL LME Comdty</stp>
        <stp>PX_LAST</stp>
        <stp>[Qwack - LMELookBackExample.xlsx]MetalCurves!R32C30</stp>
        <tr r="AD32" s="1"/>
      </tp>
      <tp>
        <v>22.919391632080078</v>
        <stp/>
        <stp>##V3_BDPV12</stp>
        <stp>LP APR20 10DP VOL LME Comdty</stp>
        <stp>PX_LAST</stp>
        <stp>[Qwack - LMELookBackExample.xlsx]MetalCurves!R20C30</stp>
        <tr r="AD20" s="1"/>
      </tp>
      <tp>
        <v>20.609800338745117</v>
        <stp/>
        <stp>##V3_BDPV12</stp>
        <stp>LP APR22 10DC VOL LME Comdty</stp>
        <stp>PX_LAST</stp>
        <stp>[Qwack - LMELookBackExample.xlsx]MetalCurves!R44C34</stp>
        <tr r="AH44" s="1"/>
      </tp>
      <tp>
        <v>22.859390258789063</v>
        <stp/>
        <stp>##V3_BDPV12</stp>
        <stp>LP MAR20 10DP VOL LME Comdty</stp>
        <stp>PX_LAST</stp>
        <stp>[Qwack - LMELookBackExample.xlsx]MetalCurves!R19C30</stp>
        <tr r="AD19" s="1"/>
      </tp>
      <tp>
        <v>20.609804153442383</v>
        <stp/>
        <stp>##V3_BDPV12</stp>
        <stp>LP MAR22 10DC VOL LME Comdty</stp>
        <stp>PX_LAST</stp>
        <stp>[Qwack - LMELookBackExample.xlsx]MetalCurves!R43C34</stp>
        <tr r="AH43" s="1"/>
      </tp>
      <tp>
        <v>23.559404373168945</v>
        <stp/>
        <stp>##V3_BDPV12</stp>
        <stp>LP MAR21 10DP VOL LME Comdty</stp>
        <stp>PX_LAST</stp>
        <stp>[Qwack - LMELookBackExample.xlsx]MetalCurves!R31C30</stp>
        <tr r="AD31" s="1"/>
      </tp>
      <tp>
        <v>20.519737243652344</v>
        <stp/>
        <stp>##V3_BDPV12</stp>
        <stp>LP MAR20 10DC VOL LME Comdty</stp>
        <stp>PX_LAST</stp>
        <stp>[Qwack - LMELookBackExample.xlsx]MetalCurves!R19C34</stp>
        <tr r="AH19" s="1"/>
      </tp>
      <tp>
        <v>20.65980339050293</v>
        <stp/>
        <stp>##V3_BDPV12</stp>
        <stp>LP MAR21 10DC VOL LME Comdty</stp>
        <stp>PX_LAST</stp>
        <stp>[Qwack - LMELookBackExample.xlsx]MetalCurves!R31C34</stp>
        <tr r="AH31" s="1"/>
      </tp>
      <tp>
        <v>23.679460525512695</v>
        <stp/>
        <stp>##V3_BDPV12</stp>
        <stp>LP MAR22 10DP VOL LME Comdty</stp>
        <stp>PX_LAST</stp>
        <stp>[Qwack - LMELookBackExample.xlsx]MetalCurves!R43C30</stp>
        <tr r="AD43" s="1"/>
      </tp>
      <tp>
        <v>19.529626846313477</v>
        <stp/>
        <stp>##V3_BDPV12</stp>
        <stp>LA DEC21 10DP VOL LME Comdty</stp>
        <stp>PX_LAST</stp>
        <stp>[Qwack - LMELookBackExample.xlsx]MetalCurves!R40C25</stp>
        <tr r="Y40" s="1"/>
      </tp>
      <tp>
        <v>19.459617614746094</v>
        <stp/>
        <stp>##V3_BDPV12</stp>
        <stp>LA DEC20 10DP VOL LME Comdty</stp>
        <stp>PX_LAST</stp>
        <stp>[Qwack - LMELookBackExample.xlsx]MetalCurves!R28C25</stp>
        <tr r="Y28" s="1"/>
      </tp>
      <tp>
        <v>19.819543838500977</v>
        <stp/>
        <stp>##V3_BDPV12</stp>
        <stp>LA DEC20 10DC VOL LME Comdty</stp>
        <stp>PX_LAST</stp>
        <stp>[Qwack - LMELookBackExample.xlsx]MetalCurves!R28C29</stp>
        <tr r="AC28" s="1"/>
      </tp>
      <tp>
        <v>19.629539489746094</v>
        <stp/>
        <stp>##V3_BDPV12</stp>
        <stp>LA DEC21 10DC VOL LME Comdty</stp>
        <stp>PX_LAST</stp>
        <stp>[Qwack - LMELookBackExample.xlsx]MetalCurves!R40C29</stp>
        <tr r="AC40" s="1"/>
      </tp>
      <tp>
        <v>97.27</v>
        <stp/>
        <stp>##V3_BDPV12</stp>
        <stp>EDU9 Comdty</stp>
        <stp>PX_LAST</stp>
        <stp>[Qwack - LMELookBackExample.xlsx]FundingFx!R4C8</stp>
        <tr r="H4" s="2"/>
      </tp>
      <tp>
        <v>19.259387969970703</v>
        <stp/>
        <stp>##V3_BDPV12</stp>
        <stp>LA DEC19 25DC VOL LME Comdty</stp>
        <stp>PX_LAST</stp>
        <stp>[Qwack - LMELookBackExample.xlsx]MetalCurves!R16C28</stp>
        <tr r="AB16" s="1"/>
      </tp>
      <tp>
        <v>18.519821166992188</v>
        <stp/>
        <stp>##V3_BDPV12</stp>
        <stp>LA DEC19 25DP VOL LME Comdty</stp>
        <stp>PX_LAST</stp>
        <stp>[Qwack - LMELookBackExample.xlsx]MetalCurves!R16C26</stp>
        <tr r="Z16" s="1"/>
      </tp>
      <tp>
        <v>18.669816970825195</v>
        <stp/>
        <stp>##V3_BDPV12</stp>
        <stp>LA DEC21 25DP VOL LME Comdty</stp>
        <stp>PX_LAST</stp>
        <stp>[Qwack - LMELookBackExample.xlsx]MetalCurves!R40C26</stp>
        <tr r="Z40" s="1"/>
      </tp>
      <tp>
        <v>18.639804840087891</v>
        <stp/>
        <stp>##V3_BDPV12</stp>
        <stp>LA DEC20 25DP VOL LME Comdty</stp>
        <stp>PX_LAST</stp>
        <stp>[Qwack - LMELookBackExample.xlsx]MetalCurves!R28C26</stp>
        <tr r="Z28" s="1"/>
      </tp>
      <tp>
        <v>19.019475936889648</v>
        <stp/>
        <stp>##V3_BDPV12</stp>
        <stp>LA DEC20 25DC VOL LME Comdty</stp>
        <stp>PX_LAST</stp>
        <stp>[Qwack - LMELookBackExample.xlsx]MetalCurves!R28C28</stp>
        <tr r="AB28" s="1"/>
      </tp>
      <tp>
        <v>18.849462509155273</v>
        <stp/>
        <stp>##V3_BDPV12</stp>
        <stp>LA DEC21 25DC VOL LME Comdty</stp>
        <stp>PX_LAST</stp>
        <stp>[Qwack - LMELookBackExample.xlsx]MetalCurves!R40C28</stp>
        <tr r="AB40" s="1"/>
      </tp>
      <tp>
        <v>20.349704742431641</v>
        <stp/>
        <stp>##V3_BDPV12</stp>
        <stp>LP APR22 25DC VOL LME Comdty</stp>
        <stp>PX_LAST</stp>
        <stp>[Qwack - LMELookBackExample.xlsx]MetalCurves!R44C33</stp>
        <tr r="AG44" s="1"/>
      </tp>
      <tp>
        <v>22.019630432128906</v>
        <stp/>
        <stp>##V3_BDPV12</stp>
        <stp>LP APR22 25DP VOL LME Comdty</stp>
        <stp>PX_LAST</stp>
        <stp>[Qwack - LMELookBackExample.xlsx]MetalCurves!R44C31</stp>
        <tr r="AE44" s="1"/>
      </tp>
      <tp>
        <v>20.109712600708008</v>
        <stp/>
        <stp>##V3_BDPV12</stp>
        <stp>LP APR20 25DC VOL LME Comdty</stp>
        <stp>PX_LAST</stp>
        <stp>[Qwack - LMELookBackExample.xlsx]MetalCurves!R20C33</stp>
        <tr r="AG20" s="1"/>
      </tp>
      <tp>
        <v>20.329727172851563</v>
        <stp/>
        <stp>##V3_BDPV12</stp>
        <stp>LP APR21 25DC VOL LME Comdty</stp>
        <stp>PX_LAST</stp>
        <stp>[Qwack - LMELookBackExample.xlsx]MetalCurves!R32C33</stp>
        <tr r="AG32" s="1"/>
      </tp>
      <tp>
        <v>21.949554443359375</v>
        <stp/>
        <stp>##V3_BDPV12</stp>
        <stp>LP APR21 25DP VOL LME Comdty</stp>
        <stp>PX_LAST</stp>
        <stp>[Qwack - LMELookBackExample.xlsx]MetalCurves!R32C31</stp>
        <tr r="AE32" s="1"/>
      </tp>
      <tp>
        <v>21.419519424438477</v>
        <stp/>
        <stp>##V3_BDPV12</stp>
        <stp>LP APR20 25DP VOL LME Comdty</stp>
        <stp>PX_LAST</stp>
        <stp>[Qwack - LMELookBackExample.xlsx]MetalCurves!R20C31</stp>
        <tr r="AE20" s="1"/>
      </tp>
      <tp>
        <v>21.3795166015625</v>
        <stp/>
        <stp>##V3_BDPV12</stp>
        <stp>LP MAR20 25DP VOL LME Comdty</stp>
        <stp>PX_LAST</stp>
        <stp>[Qwack - LMELookBackExample.xlsx]MetalCurves!R19C31</stp>
        <tr r="AE19" s="1"/>
      </tp>
      <tp>
        <v>20.349723815917969</v>
        <stp/>
        <stp>##V3_BDPV12</stp>
        <stp>LP MAR21 25DC VOL LME Comdty</stp>
        <stp>PX_LAST</stp>
        <stp>[Qwack - LMELookBackExample.xlsx]MetalCurves!R31C33</stp>
        <tr r="AG31" s="1"/>
      </tp>
      <tp>
        <v>20.099712371826172</v>
        <stp/>
        <stp>##V3_BDPV12</stp>
        <stp>LP MAR20 25DC VOL LME Comdty</stp>
        <stp>PX_LAST</stp>
        <stp>[Qwack - LMELookBackExample.xlsx]MetalCurves!R19C33</stp>
        <tr r="AG19" s="1"/>
      </tp>
      <tp>
        <v>21.879550933837891</v>
        <stp/>
        <stp>##V3_BDPV12</stp>
        <stp>LP MAR21 25DP VOL LME Comdty</stp>
        <stp>PX_LAST</stp>
        <stp>[Qwack - LMELookBackExample.xlsx]MetalCurves!R31C31</stp>
        <tr r="AE31" s="1"/>
      </tp>
      <tp>
        <v>20.349706649780273</v>
        <stp/>
        <stp>##V3_BDPV12</stp>
        <stp>LP MAR22 25DC VOL LME Comdty</stp>
        <stp>PX_LAST</stp>
        <stp>[Qwack - LMELookBackExample.xlsx]MetalCurves!R43C33</stp>
        <tr r="AG43" s="1"/>
      </tp>
      <tp>
        <v>22.019622802734375</v>
        <stp/>
        <stp>##V3_BDPV12</stp>
        <stp>LP MAR22 25DP VOL LME Comdty</stp>
        <stp>PX_LAST</stp>
        <stp>[Qwack - LMELookBackExample.xlsx]MetalCurves!R43C31</stp>
        <tr r="AE43" s="1"/>
      </tp>
      <tp>
        <v>17.692499999999999</v>
        <stp/>
        <stp>##V3_BDPV12</stp>
        <stp>USDZARV18m Curncy</stp>
        <stp>PX_MID</stp>
        <stp>[Qwack - LMELookBackExample.xlsx]FundingFx!R11C13</stp>
        <tr r="M11" s="2"/>
      </tp>
      <tp>
        <v>97.240000000000009</v>
        <stp/>
        <stp>##V3_BDPV12</stp>
        <stp>EDZ9 Comdty</stp>
        <stp>PX_LAST</stp>
        <stp>[Qwack - LMELookBackExample.xlsx]FundingFx!R5C8</stp>
        <tr r="H5" s="2"/>
      </tp>
      <tp>
        <v>20.119720458984375</v>
        <stp/>
        <stp>##V3_BDPV12</stp>
        <stp>LP SEP19 10DC VOL LME Comdty</stp>
        <stp>PX_LAST</stp>
        <stp>[Qwack - LMELookBackExample.xlsx]MetalCurves!R13C34</stp>
        <tr r="AH13" s="1"/>
      </tp>
      <tp>
        <v>22.029380798339844</v>
        <stp/>
        <stp>##V3_BDPV12</stp>
        <stp>LP SEP19 10DP VOL LME Comdty</stp>
        <stp>PX_LAST</stp>
        <stp>[Qwack - LMELookBackExample.xlsx]MetalCurves!R13C30</stp>
        <tr r="AD13" s="1"/>
      </tp>
      <tp>
        <v>20.629755020141602</v>
        <stp/>
        <stp>##V3_BDPV12</stp>
        <stp>LP SEP20 10DC VOL LME Comdty</stp>
        <stp>PX_LAST</stp>
        <stp>[Qwack - LMELookBackExample.xlsx]MetalCurves!R25C34</stp>
        <tr r="AH25" s="1"/>
      </tp>
      <tp>
        <v>20.599819183349609</v>
        <stp/>
        <stp>##V3_BDPV12</stp>
        <stp>LP SEP21 10DC VOL LME Comdty</stp>
        <stp>PX_LAST</stp>
        <stp>[Qwack - LMELookBackExample.xlsx]MetalCurves!R37C34</stp>
        <tr r="AH37" s="1"/>
      </tp>
      <tp>
        <v>23.649431228637695</v>
        <stp/>
        <stp>##V3_BDPV12</stp>
        <stp>LP SEP21 10DP VOL LME Comdty</stp>
        <stp>PX_LAST</stp>
        <stp>[Qwack - LMELookBackExample.xlsx]MetalCurves!R37C30</stp>
        <tr r="AD37" s="1"/>
      </tp>
      <tp>
        <v>23.309383392333984</v>
        <stp/>
        <stp>##V3_BDPV12</stp>
        <stp>LP SEP20 10DP VOL LME Comdty</stp>
        <stp>PX_LAST</stp>
        <stp>[Qwack - LMELookBackExample.xlsx]MetalCurves!R25C30</stp>
        <tr r="AD25" s="1"/>
      </tp>
      <tp>
        <v>18.679821014404297</v>
        <stp/>
        <stp>##V3_BDPV12</stp>
        <stp>LA FEB22 25DP VOL LME Comdty</stp>
        <stp>PX_LAST</stp>
        <stp>[Qwack - LMELookBackExample.xlsx]MetalCurves!R42C26</stp>
        <tr r="Z42" s="1"/>
      </tp>
      <tp>
        <v>18.569818496704102</v>
        <stp/>
        <stp>##V3_BDPV12</stp>
        <stp>LA FEB20 25DP VOL LME Comdty</stp>
        <stp>PX_LAST</stp>
        <stp>[Qwack - LMELookBackExample.xlsx]MetalCurves!R18C26</stp>
        <tr r="Z18" s="1"/>
      </tp>
      <tp>
        <v>18.59980583190918</v>
        <stp/>
        <stp>##V3_BDPV12</stp>
        <stp>LA FEB21 25DP VOL LME Comdty</stp>
        <stp>PX_LAST</stp>
        <stp>[Qwack - LMELookBackExample.xlsx]MetalCurves!R30C26</stp>
        <tr r="Z30" s="1"/>
      </tp>
      <tp>
        <v>18.929489135742188</v>
        <stp/>
        <stp>##V3_BDPV12</stp>
        <stp>LA FEB21 25DC VOL LME Comdty</stp>
        <stp>PX_LAST</stp>
        <stp>[Qwack - LMELookBackExample.xlsx]MetalCurves!R30C28</stp>
        <tr r="AB30" s="1"/>
      </tp>
      <tp>
        <v>19.32935905456543</v>
        <stp/>
        <stp>##V3_BDPV12</stp>
        <stp>LA FEB20 25DC VOL LME Comdty</stp>
        <stp>PX_LAST</stp>
        <stp>[Qwack - LMELookBackExample.xlsx]MetalCurves!R18C28</stp>
        <tr r="AB18" s="1"/>
      </tp>
      <tp>
        <v>18.849466323852539</v>
        <stp/>
        <stp>##V3_BDPV12</stp>
        <stp>LA FEB22 25DC VOL LME Comdty</stp>
        <stp>PX_LAST</stp>
        <stp>[Qwack - LMELookBackExample.xlsx]MetalCurves!R42C28</stp>
        <tr r="AB42" s="1"/>
      </tp>
      <tp>
        <v>29.509893417358398</v>
        <stp/>
        <stp>##V3_BDPV12</stp>
        <stp>LN NOV19 50D VOL LME Comdty</stp>
        <stp>PX_LAST</stp>
        <stp>[Qwack - LMELookBackExample.xlsx]MetalCurves!R15C36</stp>
        <tr r="AJ15" s="1"/>
      </tp>
      <tp>
        <v>29.909849166870117</v>
        <stp/>
        <stp>##V3_BDPV12</stp>
        <stp>LN NOV20 50D VOL LME Comdty</stp>
        <stp>PX_LAST</stp>
        <stp>[Qwack - LMELookBackExample.xlsx]MetalCurves!R27C36</stp>
        <tr r="AJ27" s="1"/>
      </tp>
      <tp>
        <v>18.389970779418945</v>
        <stp/>
        <stp>##V3_BDPV12</stp>
        <stp>LA NOV19 50D VOL LME Comdty</stp>
        <stp>PX_LAST</stp>
        <stp>[Qwack - LMELookBackExample.xlsx]MetalCurves!R15C27</stp>
        <tr r="AA15" s="1"/>
      </tp>
      <tp>
        <v>18.219968795776367</v>
        <stp/>
        <stp>##V3_BDPV12</stp>
        <stp>LA NOV20 50D VOL LME Comdty</stp>
        <stp>PX_LAST</stp>
        <stp>[Qwack - LMELookBackExample.xlsx]MetalCurves!R27C27</stp>
        <tr r="AA27" s="1"/>
      </tp>
      <tp>
        <v>18.11998176574707</v>
        <stp/>
        <stp>##V3_BDPV12</stp>
        <stp>LA NOV21 50D VOL LME Comdty</stp>
        <stp>PX_LAST</stp>
        <stp>[Qwack - LMELookBackExample.xlsx]MetalCurves!R39C27</stp>
        <tr r="AA39" s="1"/>
      </tp>
      <tp>
        <v>24.090065002441406</v>
        <stp/>
        <stp>##V3_BDPV12</stp>
        <stp>LX NOV19 50D VOL LME Comdty</stp>
        <stp>PX_LAST</stp>
        <stp>[Qwack - LMELookBackExample.xlsx]MetalCurves!R15C35</stp>
        <tr r="AI15" s="1"/>
      </tp>
      <tp>
        <v>23.930131912231445</v>
        <stp/>
        <stp>##V3_BDPV12</stp>
        <stp>LX NOV20 50D VOL LME Comdty</stp>
        <stp>PX_LAST</stp>
        <stp>[Qwack - LMELookBackExample.xlsx]MetalCurves!R27C35</stp>
        <tr r="AI27" s="1"/>
      </tp>
      <tp>
        <v>19.920106887817383</v>
        <stp/>
        <stp>##V3_BDPV12</stp>
        <stp>LP NOV21 50D VOL LME Comdty</stp>
        <stp>PX_LAST</stp>
        <stp>[Qwack - LMELookBackExample.xlsx]MetalCurves!R39C32</stp>
        <tr r="AF39" s="1"/>
      </tp>
      <tp>
        <v>19.510038375854492</v>
        <stp/>
        <stp>##V3_BDPV12</stp>
        <stp>LP NOV19 50D VOL LME Comdty</stp>
        <stp>PX_LAST</stp>
        <stp>[Qwack - LMELookBackExample.xlsx]MetalCurves!R15C32</stp>
        <tr r="AF15" s="1"/>
      </tp>
      <tp>
        <v>19.950082778930664</v>
        <stp/>
        <stp>##V3_BDPV12</stp>
        <stp>LP NOV20 50D VOL LME Comdty</stp>
        <stp>PX_LAST</stp>
        <stp>[Qwack - LMELookBackExample.xlsx]MetalCurves!R27C32</stp>
        <tr r="AF27" s="1"/>
      </tp>
      <tp>
        <v>13.7651</v>
        <stp/>
        <stp>##V3_BDPV12</stp>
        <stp>ZAR Curncy</stp>
        <stp>PX_LAST</stp>
        <stp>[Qwack - LMELookBackExample.xlsx]FundingFx!R1C2</stp>
        <tr r="B1" s="2"/>
      </tp>
      <tp>
        <v>19.259696960449219</v>
        <stp/>
        <stp>##V3_BDPV12</stp>
        <stp>LP JUL19 25DC VOL LME Comdty</stp>
        <stp>PX_LAST</stp>
        <stp>[Qwack - LMELookBackExample.xlsx]MetalCurves!R11C33</stp>
        <tr r="AG11" s="1"/>
      </tp>
      <tp>
        <v>20.079530715942383</v>
        <stp/>
        <stp>##V3_BDPV12</stp>
        <stp>LP JUL19 25DP VOL LME Comdty</stp>
        <stp>PX_LAST</stp>
        <stp>[Qwack - LMELookBackExample.xlsx]MetalCurves!R11C31</stp>
        <tr r="AE11" s="1"/>
      </tp>
      <tp>
        <v>21.599527359008789</v>
        <stp/>
        <stp>##V3_BDPV12</stp>
        <stp>LP JUL20 25DP VOL LME Comdty</stp>
        <stp>PX_LAST</stp>
        <stp>[Qwack - LMELookBackExample.xlsx]MetalCurves!R23C31</stp>
        <tr r="AE23" s="1"/>
      </tp>
      <tp>
        <v>21.969570159912109</v>
        <stp/>
        <stp>##V3_BDPV12</stp>
        <stp>LP JUL21 25DP VOL LME Comdty</stp>
        <stp>PX_LAST</stp>
        <stp>[Qwack - LMELookBackExample.xlsx]MetalCurves!R35C31</stp>
        <tr r="AE35" s="1"/>
      </tp>
      <tp>
        <v>20.209709167480469</v>
        <stp/>
        <stp>##V3_BDPV12</stp>
        <stp>LP JUL20 25DC VOL LME Comdty</stp>
        <stp>PX_LAST</stp>
        <stp>[Qwack - LMELookBackExample.xlsx]MetalCurves!R23C33</stp>
        <tr r="AG23" s="1"/>
      </tp>
      <tp>
        <v>20.339725494384766</v>
        <stp/>
        <stp>##V3_BDPV12</stp>
        <stp>LP JUL21 25DC VOL LME Comdty</stp>
        <stp>PX_LAST</stp>
        <stp>[Qwack - LMELookBackExample.xlsx]MetalCurves!R35C33</stp>
        <tr r="AG35" s="1"/>
      </tp>
    </main>
    <main first="bloomberg.rtd">
      <tp>
        <v>29.879829406738281</v>
        <stp/>
        <stp>##V3_BDPV12</stp>
        <stp>LN APR21 50D VOL LME Comdty</stp>
        <stp>PX_LAST</stp>
        <stp>[Qwack - LMELookBackExample.xlsx]MetalCurves!R32C36</stp>
        <tr r="AJ32" s="1"/>
      </tp>
      <tp>
        <v>29.729875564575195</v>
        <stp/>
        <stp>##V3_BDPV12</stp>
        <stp>LN APR20 50D VOL LME Comdty</stp>
        <stp>PX_LAST</stp>
        <stp>[Qwack - LMELookBackExample.xlsx]MetalCurves!R20C36</stp>
        <tr r="AJ20" s="1"/>
      </tp>
      <tp>
        <v>18.379961013793945</v>
        <stp/>
        <stp>##V3_BDPV12</stp>
        <stp>LA APR20 50D VOL LME Comdty</stp>
        <stp>PX_LAST</stp>
        <stp>[Qwack - LMELookBackExample.xlsx]MetalCurves!R20C27</stp>
        <tr r="AA20" s="1"/>
      </tp>
      <tp>
        <v>18.119974136352539</v>
        <stp/>
        <stp>##V3_BDPV12</stp>
        <stp>LA APR21 50D VOL LME Comdty</stp>
        <stp>PX_LAST</stp>
        <stp>[Qwack - LMELookBackExample.xlsx]MetalCurves!R32C27</stp>
        <tr r="AA32" s="1"/>
      </tp>
      <tp>
        <v>18.119983673095703</v>
        <stp/>
        <stp>##V3_BDPV12</stp>
        <stp>LA APR22 50D VOL LME Comdty</stp>
        <stp>PX_LAST</stp>
        <stp>[Qwack - LMELookBackExample.xlsx]MetalCurves!R44C27</stp>
        <tr r="AA44" s="1"/>
      </tp>
      <tp>
        <v>1492</v>
        <stp/>
        <stp>##V3_BDPV12</stp>
        <stp>ZAR3m Curncy</stp>
        <stp>PX_LAST</stp>
        <stp>[Qwack - LMELookBackExample.xlsx]FundingFx!R6C2</stp>
        <tr r="B6" s="2"/>
      </tp>
      <tp>
        <v>24.020095825195313</v>
        <stp/>
        <stp>##V3_BDPV12</stp>
        <stp>LX APR20 50D VOL LME Comdty</stp>
        <stp>PX_LAST</stp>
        <stp>[Qwack - LMELookBackExample.xlsx]MetalCurves!R20C35</stp>
        <tr r="AI20" s="1"/>
      </tp>
      <tp>
        <v>23.930147171020508</v>
        <stp/>
        <stp>##V3_BDPV12</stp>
        <stp>LX APR21 50D VOL LME Comdty</stp>
        <stp>PX_LAST</stp>
        <stp>[Qwack - LMELookBackExample.xlsx]MetalCurves!R32C35</stp>
        <tr r="AI32" s="1"/>
      </tp>
      <tp>
        <v>19.920120239257813</v>
        <stp/>
        <stp>##V3_BDPV12</stp>
        <stp>LP APR22 50D VOL LME Comdty</stp>
        <stp>PX_LAST</stp>
        <stp>[Qwack - LMELookBackExample.xlsx]MetalCurves!R44C32</stp>
        <tr r="AF44" s="1"/>
      </tp>
      <tp>
        <v>19.920095443725586</v>
        <stp/>
        <stp>##V3_BDPV12</stp>
        <stp>LP APR21 50D VOL LME Comdty</stp>
        <stp>PX_LAST</stp>
        <stp>[Qwack - LMELookBackExample.xlsx]MetalCurves!R32C32</stp>
        <tr r="AF32" s="1"/>
      </tp>
      <tp>
        <v>19.75006103515625</v>
        <stp/>
        <stp>##V3_BDPV12</stp>
        <stp>LP APR20 50D VOL LME Comdty</stp>
        <stp>PX_LAST</stp>
        <stp>[Qwack - LMELookBackExample.xlsx]MetalCurves!R20C32</stp>
        <tr r="AF20" s="1"/>
      </tp>
      <tp>
        <v>12.775</v>
        <stp/>
        <stp>##V3_BDPV12</stp>
        <stp>XAUUSDV18m Comdty</stp>
        <stp>PX_LAST</stp>
        <stp>[Qwack - LMELookBackExample.xlsx]MetalCurves!R71C7</stp>
        <tr r="G71" s="1"/>
      </tp>
      <tp>
        <v>19.599674224853516</v>
        <stp/>
        <stp>##V3_BDPV12</stp>
        <stp>LP JUN19 10DC VOL LME Comdty</stp>
        <stp>PX_LAST</stp>
        <stp>[Qwack - LMELookBackExample.xlsx]MetalCurves!R10C34</stp>
        <tr r="AH10" s="1"/>
      </tp>
      <tp>
        <v>20.999441146850586</v>
        <stp/>
        <stp>##V3_BDPV12</stp>
        <stp>LP JUN19 10DP VOL LME Comdty</stp>
        <stp>PX_LAST</stp>
        <stp>[Qwack - LMELookBackExample.xlsx]MetalCurves!R10C30</stp>
        <tr r="AD10" s="1"/>
      </tp>
      <tp>
        <v>20.649787902832031</v>
        <stp/>
        <stp>##V3_BDPV12</stp>
        <stp>LP JAN21 10DC VOL LME Comdty</stp>
        <stp>PX_LAST</stp>
        <stp>[Qwack - LMELookBackExample.xlsx]MetalCurves!R29C34</stp>
        <tr r="AH29" s="1"/>
      </tp>
      <tp>
        <v>20.579738616943359</v>
        <stp/>
        <stp>##V3_BDPV12</stp>
        <stp>LP JUN20 10DC VOL LME Comdty</stp>
        <stp>PX_LAST</stp>
        <stp>[Qwack - LMELookBackExample.xlsx]MetalCurves!R22C34</stp>
        <tr r="AH22" s="1"/>
      </tp>
      <tp>
        <v>20.589817047119141</v>
        <stp/>
        <stp>##V3_BDPV12</stp>
        <stp>LP JUN21 10DC VOL LME Comdty</stp>
        <stp>PX_LAST</stp>
        <stp>[Qwack - LMELookBackExample.xlsx]MetalCurves!R34C34</stp>
        <tr r="AH34" s="1"/>
      </tp>
      <tp>
        <v>23.679452896118164</v>
        <stp/>
        <stp>##V3_BDPV12</stp>
        <stp>LP JAN22 10DP VOL LME Comdty</stp>
        <stp>PX_LAST</stp>
        <stp>[Qwack - LMELookBackExample.xlsx]MetalCurves!R41C30</stp>
        <tr r="AD41" s="1"/>
      </tp>
      <tp>
        <v>20.439737319946289</v>
        <stp/>
        <stp>##V3_BDPV12</stp>
        <stp>LP JAN20 10DC VOL LME Comdty</stp>
        <stp>PX_LAST</stp>
        <stp>[Qwack - LMELookBackExample.xlsx]MetalCurves!R17C34</stp>
        <tr r="AH17" s="1"/>
      </tp>
      <tp>
        <v>23.519390106201172</v>
        <stp/>
        <stp>##V3_BDPV12</stp>
        <stp>LP JAN21 10DP VOL LME Comdty</stp>
        <stp>PX_LAST</stp>
        <stp>[Qwack - LMELookBackExample.xlsx]MetalCurves!R29C30</stp>
        <tr r="AD29" s="1"/>
      </tp>
      <tp>
        <v>23.089387893676758</v>
        <stp/>
        <stp>##V3_BDPV12</stp>
        <stp>LP JUN20 10DP VOL LME Comdty</stp>
        <stp>PX_LAST</stp>
        <stp>[Qwack - LMELookBackExample.xlsx]MetalCurves!R22C30</stp>
        <tr r="AD22" s="1"/>
      </tp>
      <tp>
        <v>20.609807968139648</v>
        <stp/>
        <stp>##V3_BDPV12</stp>
        <stp>LP JAN22 10DC VOL LME Comdty</stp>
        <stp>PX_LAST</stp>
        <stp>[Qwack - LMELookBackExample.xlsx]MetalCurves!R41C34</stp>
        <tr r="AH41" s="1"/>
      </tp>
      <tp>
        <v>23.589427947998047</v>
        <stp/>
        <stp>##V3_BDPV12</stp>
        <stp>LP JUN21 10DP VOL LME Comdty</stp>
        <stp>PX_LAST</stp>
        <stp>[Qwack - LMELookBackExample.xlsx]MetalCurves!R34C30</stp>
        <tr r="AD34" s="1"/>
      </tp>
      <tp>
        <v>22.68937873840332</v>
        <stp/>
        <stp>##V3_BDPV12</stp>
        <stp>LP JAN20 10DP VOL LME Comdty</stp>
        <stp>PX_LAST</stp>
        <stp>[Qwack - LMELookBackExample.xlsx]MetalCurves!R17C30</stp>
        <tr r="AD17" s="1"/>
      </tp>
      <tp>
        <v>0.80500000000000005</v>
        <stp/>
        <stp>##V3_BDPV12</stp>
        <stp>USDZAR25B18m Curncy</stp>
        <stp>PX_LAST</stp>
        <stp>[Qwack - LMELookBackExample.xlsx]FundingFx!R26C15</stp>
        <tr r="O26" s="2"/>
      </tp>
      <tp>
        <v>4.49</v>
        <stp/>
        <stp>##V3_BDPV12</stp>
        <stp>USDZAR25R18m Curncy</stp>
        <stp>PX_LAST</stp>
        <stp>[Qwack - LMELookBackExample.xlsx]FundingFx!R26C13</stp>
        <tr r="M26" s="2"/>
      </tp>
      <tp>
        <v>3043</v>
        <stp/>
        <stp>##V3_BDPV12</stp>
        <stp>ZAR6m Curncy</stp>
        <stp>PX_LAST</stp>
        <stp>[Qwack - LMELookBackExample.xlsx]FundingFx!R7C2</stp>
        <tr r="B7" s="2"/>
      </tp>
      <tp>
        <v>19.019695281982422</v>
        <stp/>
        <stp>##V3_BDPV12</stp>
        <stp>LP JUN19 25DC VOL LME Comdty</stp>
        <stp>PX_LAST</stp>
        <stp>[Qwack - LMELookBackExample.xlsx]MetalCurves!R10C33</stp>
        <tr r="AG10" s="1"/>
      </tp>
      <tp>
        <v>19.779544830322266</v>
        <stp/>
        <stp>##V3_BDPV12</stp>
        <stp>LP JUN19 25DP VOL LME Comdty</stp>
        <stp>PX_LAST</stp>
        <stp>[Qwack - LMELookBackExample.xlsx]MetalCurves!R10C31</stp>
        <tr r="AE10" s="1"/>
      </tp>
      <tp>
        <v>22.019609451293945</v>
        <stp/>
        <stp>##V3_BDPV12</stp>
        <stp>LP JAN22 25DP VOL LME Comdty</stp>
        <stp>PX_LAST</stp>
        <stp>[Qwack - LMELookBackExample.xlsx]MetalCurves!R41C31</stp>
        <tr r="AE41" s="1"/>
      </tp>
      <tp>
        <v>20.339710235595703</v>
        <stp/>
        <stp>##V3_BDPV12</stp>
        <stp>LP JAN22 25DC VOL LME Comdty</stp>
        <stp>PX_LAST</stp>
        <stp>[Qwack - LMELookBackExample.xlsx]MetalCurves!R41C33</stp>
        <tr r="AG41" s="1"/>
      </tp>
      <tp>
        <v>21.539524078369141</v>
        <stp/>
        <stp>##V3_BDPV12</stp>
        <stp>LP JUN20 25DP VOL LME Comdty</stp>
        <stp>PX_LAST</stp>
        <stp>[Qwack - LMELookBackExample.xlsx]MetalCurves!R22C31</stp>
        <tr r="AE22" s="1"/>
      </tp>
      <tp>
        <v>21.949565887451172</v>
        <stp/>
        <stp>##V3_BDPV12</stp>
        <stp>LP JUN21 25DP VOL LME Comdty</stp>
        <stp>PX_LAST</stp>
        <stp>[Qwack - LMELookBackExample.xlsx]MetalCurves!R34C31</stp>
        <tr r="AE34" s="1"/>
      </tp>
      <tp>
        <v>20.019716262817383</v>
        <stp/>
        <stp>##V3_BDPV12</stp>
        <stp>LP JAN20 25DC VOL LME Comdty</stp>
        <stp>PX_LAST</stp>
        <stp>[Qwack - LMELookBackExample.xlsx]MetalCurves!R17C33</stp>
        <tr r="AG17" s="1"/>
      </tp>
      <tp>
        <v>21.859542846679688</v>
        <stp/>
        <stp>##V3_BDPV12</stp>
        <stp>LP JAN21 25DP VOL LME Comdty</stp>
        <stp>PX_LAST</stp>
        <stp>[Qwack - LMELookBackExample.xlsx]MetalCurves!R29C31</stp>
        <tr r="AE29" s="1"/>
      </tp>
      <tp>
        <v>20.169708251953125</v>
        <stp/>
        <stp>##V3_BDPV12</stp>
        <stp>LP JUN20 25DC VOL LME Comdty</stp>
        <stp>PX_LAST</stp>
        <stp>[Qwack - LMELookBackExample.xlsx]MetalCurves!R22C33</stp>
        <tr r="AG22" s="1"/>
      </tp>
      <tp>
        <v>20.329729080200195</v>
        <stp/>
        <stp>##V3_BDPV12</stp>
        <stp>LP JUN21 25DC VOL LME Comdty</stp>
        <stp>PX_LAST</stp>
        <stp>[Qwack - LMELookBackExample.xlsx]MetalCurves!R34C33</stp>
        <tr r="AG34" s="1"/>
      </tp>
      <tp>
        <v>20.329721450805664</v>
        <stp/>
        <stp>##V3_BDPV12</stp>
        <stp>LP JAN21 25DC VOL LME Comdty</stp>
        <stp>PX_LAST</stp>
        <stp>[Qwack - LMELookBackExample.xlsx]MetalCurves!R29C33</stp>
        <tr r="AG29" s="1"/>
      </tp>
      <tp>
        <v>21.19951057434082</v>
        <stp/>
        <stp>##V3_BDPV12</stp>
        <stp>LP JAN20 25DP VOL LME Comdty</stp>
        <stp>PX_LAST</stp>
        <stp>[Qwack - LMELookBackExample.xlsx]MetalCurves!R17C31</stp>
        <tr r="AE17" s="1"/>
      </tp>
      <tp>
        <v>1.7424999999999999</v>
        <stp/>
        <stp>##V3_BDPV12</stp>
        <stp>USDZAR10B18m Curncy</stp>
        <stp>PX_LAST</stp>
        <stp>[Qwack - LMELookBackExample.xlsx]FundingFx!R26C16</stp>
        <tr r="P26" s="2"/>
      </tp>
      <tp>
        <v>8.3475000000000001</v>
        <stp/>
        <stp>##V3_BDPV12</stp>
        <stp>USDZAR10R18m Curncy</stp>
        <stp>PX_LAST</stp>
        <stp>[Qwack - LMELookBackExample.xlsx]FundingFx!R26C14</stp>
        <tr r="N26" s="2"/>
      </tp>
      <tp>
        <v>502</v>
        <stp/>
        <stp>##V3_BDPV12</stp>
        <stp>ZAR1m Curncy</stp>
        <stp>PX_LAST</stp>
        <stp>[Qwack - LMELookBackExample.xlsx]FundingFx!R4C2</stp>
        <tr r="B4" s="2"/>
      </tp>
      <tp>
        <v>8.4350000000000005</v>
        <stp/>
        <stp>##V3_BDPV12</stp>
        <stp>XAUUSDV1w Comdty</stp>
        <stp>PX_LAST</stp>
        <stp>[Qwack - LMELookBackExample.xlsx]MetalCurves!R64C7</stp>
        <tr r="G64" s="1"/>
      </tp>
      <tp>
        <v>19.809686660766602</v>
        <stp/>
        <stp>##V3_BDPV12</stp>
        <stp>LP JUL19 10DC VOL LME Comdty</stp>
        <stp>PX_LAST</stp>
        <stp>[Qwack - LMELookBackExample.xlsx]MetalCurves!R11C34</stp>
        <tr r="AH11" s="1"/>
      </tp>
      <tp>
        <v>21.379415512084961</v>
        <stp/>
        <stp>##V3_BDPV12</stp>
        <stp>LP JUL19 10DP VOL LME Comdty</stp>
        <stp>PX_LAST</stp>
        <stp>[Qwack - LMELookBackExample.xlsx]MetalCurves!R11C30</stp>
        <tr r="AD11" s="1"/>
      </tp>
      <tp>
        <v>20.609743118286133</v>
        <stp/>
        <stp>##V3_BDPV12</stp>
        <stp>LP JUL20 10DC VOL LME Comdty</stp>
        <stp>PX_LAST</stp>
        <stp>[Qwack - LMELookBackExample.xlsx]MetalCurves!R23C34</stp>
        <tr r="AH23" s="1"/>
      </tp>
      <tp>
        <v>20.589818954467773</v>
        <stp/>
        <stp>##V3_BDPV12</stp>
        <stp>LP JUL21 10DC VOL LME Comdty</stp>
        <stp>PX_LAST</stp>
        <stp>[Qwack - LMELookBackExample.xlsx]MetalCurves!R35C34</stp>
        <tr r="AH35" s="1"/>
      </tp>
      <tp>
        <v>23.159387588500977</v>
        <stp/>
        <stp>##V3_BDPV12</stp>
        <stp>LP JUL20 10DP VOL LME Comdty</stp>
        <stp>PX_LAST</stp>
        <stp>[Qwack - LMELookBackExample.xlsx]MetalCurves!R23C30</stp>
        <tr r="AD23" s="1"/>
      </tp>
      <tp>
        <v>23.639429092407227</v>
        <stp/>
        <stp>##V3_BDPV12</stp>
        <stp>LP JUL21 10DP VOL LME Comdty</stp>
        <stp>PX_LAST</stp>
        <stp>[Qwack - LMELookBackExample.xlsx]MetalCurves!R35C30</stp>
        <tr r="AD35" s="1"/>
      </tp>
      <tp>
        <v>960</v>
        <stp/>
        <stp>##V3_BDPV12</stp>
        <stp>ZAR2m Curncy</stp>
        <stp>PX_LAST</stp>
        <stp>[Qwack - LMELookBackExample.xlsx]FundingFx!R5C2</stp>
        <tr r="B5" s="2"/>
      </tp>
      <tp>
        <v>19.309398651123047</v>
        <stp/>
        <stp>##V3_BDPV12</stp>
        <stp>LA MAY20 25DC VOL LME Comdty</stp>
        <stp>PX_LAST</stp>
        <stp>[Qwack - LMELookBackExample.xlsx]MetalCurves!R21C28</stp>
        <tr r="AB21" s="1"/>
      </tp>
      <tp>
        <v>18.869487762451172</v>
        <stp/>
        <stp>##V3_BDPV12</stp>
        <stp>LA MAY21 25DC VOL LME Comdty</stp>
        <stp>PX_LAST</stp>
        <stp>[Qwack - LMELookBackExample.xlsx]MetalCurves!R33C28</stp>
        <tr r="AB33" s="1"/>
      </tp>
      <tp>
        <v>18.809463500976563</v>
        <stp/>
        <stp>##V3_BDPV12</stp>
        <stp>LA MAY22 25DC VOL LME Comdty</stp>
        <stp>PX_LAST</stp>
        <stp>[Qwack - LMELookBackExample.xlsx]MetalCurves!R45C28</stp>
        <tr r="AB45" s="1"/>
      </tp>
      <tp>
        <v>18.649831771850586</v>
        <stp/>
        <stp>##V3_BDPV12</stp>
        <stp>LA MAY22 25DP VOL LME Comdty</stp>
        <stp>PX_LAST</stp>
        <stp>[Qwack - LMELookBackExample.xlsx]MetalCurves!R45C26</stp>
        <tr r="Z45" s="1"/>
      </tp>
      <tp>
        <v>18.589807510375977</v>
        <stp/>
        <stp>##V3_BDPV12</stp>
        <stp>LA MAY21 25DP VOL LME Comdty</stp>
        <stp>PX_LAST</stp>
        <stp>[Qwack - LMELookBackExample.xlsx]MetalCurves!R33C26</stp>
        <tr r="Z33" s="1"/>
      </tp>
      <tp>
        <v>18.619819641113281</v>
        <stp/>
        <stp>##V3_BDPV12</stp>
        <stp>LA MAY20 25DP VOL LME Comdty</stp>
        <stp>PX_LAST</stp>
        <stp>[Qwack - LMELookBackExample.xlsx]MetalCurves!R21C26</stp>
        <tr r="Z21" s="1"/>
      </tp>
      <tp>
        <v>-10</v>
        <stp/>
        <stp>##V3_BDPV12</stp>
        <stp>XPDSR2m Curncy</stp>
        <stp>PX_LAST</stp>
        <stp>[Qwack - LMELookBackExample.xlsx]MetalCurves!R76C3</stp>
        <tr r="C76" s="1"/>
      </tp>
      <tp>
        <v>113</v>
        <stp/>
        <stp>##V3_BDPV12</stp>
        <stp>ZAR1w Curncy</stp>
        <stp>PX_LAST</stp>
        <stp>[Qwack - LMELookBackExample.xlsx]FundingFx!R2C2</stp>
        <tr r="B2" s="2"/>
      </tp>
      <tp>
        <v>19.920101165771484</v>
        <stp/>
        <stp>##V3_BDPV12</stp>
        <stp>LP JUL21 50D VOL LME Comdty</stp>
        <stp>PX_LAST</stp>
        <stp>[Qwack - LMELookBackExample.xlsx]MetalCurves!R35C32</stp>
        <tr r="AF35" s="1"/>
      </tp>
      <tp>
        <v>18.85002326965332</v>
        <stp/>
        <stp>##V3_BDPV12</stp>
        <stp>LP JUL19 50D VOL LME Comdty</stp>
        <stp>PX_LAST</stp>
        <stp>[Qwack - LMELookBackExample.xlsx]MetalCurves!R11C32</stp>
        <tr r="AF11" s="1"/>
      </tp>
      <tp>
        <v>19.860071182250977</v>
        <stp/>
        <stp>##V3_BDPV12</stp>
        <stp>LP JUL20 50D VOL LME Comdty</stp>
        <stp>PX_LAST</stp>
        <stp>[Qwack - LMELookBackExample.xlsx]MetalCurves!R23C32</stp>
        <tr r="AF23" s="1"/>
      </tp>
      <tp>
        <v>-10</v>
        <stp/>
        <stp>##V3_BDPV12</stp>
        <stp>XPDSR3m Curncy</stp>
        <stp>PX_LAST</stp>
        <stp>[Qwack - LMELookBackExample.xlsx]MetalCurves!R77C3</stp>
        <tr r="C77" s="1"/>
      </tp>
      <tp>
        <v>23.950122833251953</v>
        <stp/>
        <stp>##V3_BDPV12</stp>
        <stp>LX AUG20 50D VOL LME Comdty</stp>
        <stp>PX_LAST</stp>
        <stp>[Qwack - LMELookBackExample.xlsx]MetalCurves!R24C35</stp>
        <tr r="AI24" s="1"/>
      </tp>
      <tp>
        <v>24.170042037963867</v>
        <stp/>
        <stp>##V3_BDPV12</stp>
        <stp>LX AUG19 50D VOL LME Comdty</stp>
        <stp>PX_LAST</stp>
        <stp>[Qwack - LMELookBackExample.xlsx]MetalCurves!R12C35</stp>
        <tr r="AI12" s="1"/>
      </tp>
      <tp>
        <v>19.920099258422852</v>
        <stp/>
        <stp>##V3_BDPV12</stp>
        <stp>LP JUN21 50D VOL LME Comdty</stp>
        <stp>PX_LAST</stp>
        <stp>[Qwack - LMELookBackExample.xlsx]MetalCurves!R34C32</stp>
        <tr r="AF34" s="1"/>
      </tp>
      <tp>
        <v>18.610019683837891</v>
        <stp/>
        <stp>##V3_BDPV12</stp>
        <stp>LP JUN19 50D VOL LME Comdty</stp>
        <stp>PX_LAST</stp>
        <stp>[Qwack - LMELookBackExample.xlsx]MetalCurves!R10C32</stp>
        <tr r="AF10" s="1"/>
      </tp>
      <tp>
        <v>19.810066223144531</v>
        <stp/>
        <stp>##V3_BDPV12</stp>
        <stp>LP JUN20 50D VOL LME Comdty</stp>
        <stp>PX_LAST</stp>
        <stp>[Qwack - LMELookBackExample.xlsx]MetalCurves!R22C32</stp>
        <tr r="AF22" s="1"/>
      </tp>
      <tp>
        <v>24.230030059814453</v>
        <stp/>
        <stp>##V3_BDPV12</stp>
        <stp>LX JUL19 50D VOL LME Comdty</stp>
        <stp>PX_LAST</stp>
        <stp>[Qwack - LMELookBackExample.xlsx]MetalCurves!R11C35</stp>
        <tr r="AI11" s="1"/>
      </tp>
      <tp>
        <v>23.950119018554688</v>
        <stp/>
        <stp>##V3_BDPV12</stp>
        <stp>LX JUL20 50D VOL LME Comdty</stp>
        <stp>PX_LAST</stp>
        <stp>[Qwack - LMELookBackExample.xlsx]MetalCurves!R23C35</stp>
        <tr r="AI23" s="1"/>
      </tp>
      <tp>
        <v>227</v>
        <stp/>
        <stp>##V3_BDPV12</stp>
        <stp>ZAR2w Curncy</stp>
        <stp>PX_LAST</stp>
        <stp>[Qwack - LMELookBackExample.xlsx]FundingFx!R3C2</stp>
        <tr r="B3" s="2"/>
      </tp>
      <tp>
        <v>19.920101165771484</v>
        <stp/>
        <stp>##V3_BDPV12</stp>
        <stp>LP AUG21 50D VOL LME Comdty</stp>
        <stp>PX_LAST</stp>
        <stp>[Qwack - LMELookBackExample.xlsx]MetalCurves!R36C32</stp>
        <tr r="AF36" s="1"/>
      </tp>
      <tp>
        <v>19.880073547363281</v>
        <stp/>
        <stp>##V3_BDPV12</stp>
        <stp>LP AUG20 50D VOL LME Comdty</stp>
        <stp>PX_LAST</stp>
        <stp>[Qwack - LMELookBackExample.xlsx]MetalCurves!R24C32</stp>
        <tr r="AF24" s="1"/>
      </tp>
      <tp>
        <v>19.080026626586914</v>
        <stp/>
        <stp>##V3_BDPV12</stp>
        <stp>LP AUG19 50D VOL LME Comdty</stp>
        <stp>PX_LAST</stp>
        <stp>[Qwack - LMELookBackExample.xlsx]MetalCurves!R12C32</stp>
        <tr r="AF12" s="1"/>
      </tp>
      <tp>
        <v>24.250022888183594</v>
        <stp/>
        <stp>##V3_BDPV12</stp>
        <stp>LX JUN19 50D VOL LME Comdty</stp>
        <stp>PX_LAST</stp>
        <stp>[Qwack - LMELookBackExample.xlsx]MetalCurves!R10C35</stp>
        <tr r="AI10" s="1"/>
      </tp>
      <tp>
        <v>24.000114440917969</v>
        <stp/>
        <stp>##V3_BDPV12</stp>
        <stp>LX JUN20 50D VOL LME Comdty</stp>
        <stp>PX_LAST</stp>
        <stp>[Qwack - LMELookBackExample.xlsx]MetalCurves!R22C35</stp>
        <tr r="AI22" s="1"/>
      </tp>
      <tp>
        <v>29.829860687255859</v>
        <stp/>
        <stp>##V3_BDPV12</stp>
        <stp>LN AUG20 50D VOL LME Comdty</stp>
        <stp>PX_LAST</stp>
        <stp>[Qwack - LMELookBackExample.xlsx]MetalCurves!R24C36</stp>
        <tr r="AJ24" s="1"/>
      </tp>
      <tp>
        <v>28.809913635253906</v>
        <stp/>
        <stp>##V3_BDPV12</stp>
        <stp>LN AUG19 50D VOL LME Comdty</stp>
        <stp>PX_LAST</stp>
        <stp>[Qwack - LMELookBackExample.xlsx]MetalCurves!R12C36</stp>
        <tr r="AJ12" s="1"/>
      </tp>
      <tp>
        <v>18.47998046875</v>
        <stp/>
        <stp>##V3_BDPV12</stp>
        <stp>LA JUL19 50D VOL LME Comdty</stp>
        <stp>PX_LAST</stp>
        <stp>[Qwack - LMELookBackExample.xlsx]MetalCurves!R11C27</stp>
        <tr r="AA11" s="1"/>
      </tp>
      <tp>
        <v>18.309961318969727</v>
        <stp/>
        <stp>##V3_BDPV12</stp>
        <stp>LA JUL20 50D VOL LME Comdty</stp>
        <stp>PX_LAST</stp>
        <stp>[Qwack - LMELookBackExample.xlsx]MetalCurves!R23C27</stp>
        <tr r="AA23" s="1"/>
      </tp>
      <tp>
        <v>18.089977264404297</v>
        <stp/>
        <stp>##V3_BDPV12</stp>
        <stp>LA JUL21 50D VOL LME Comdty</stp>
        <stp>PX_LAST</stp>
        <stp>[Qwack - LMELookBackExample.xlsx]MetalCurves!R35C27</stp>
        <tr r="AA35" s="1"/>
      </tp>
      <tp>
        <v>18.509984970092773</v>
        <stp/>
        <stp>##V3_BDPV12</stp>
        <stp>LA JUN19 50D VOL LME Comdty</stp>
        <stp>PX_LAST</stp>
        <stp>[Qwack - LMELookBackExample.xlsx]MetalCurves!R10C27</stp>
        <tr r="AA10" s="1"/>
      </tp>
      <tp>
        <v>18.359958648681641</v>
        <stp/>
        <stp>##V3_BDPV12</stp>
        <stp>LA JUN20 50D VOL LME Comdty</stp>
        <stp>PX_LAST</stp>
        <stp>[Qwack - LMELookBackExample.xlsx]MetalCurves!R22C27</stp>
        <tr r="AA22" s="1"/>
      </tp>
      <tp>
        <v>18.0999755859375</v>
        <stp/>
        <stp>##V3_BDPV12</stp>
        <stp>LA JUN21 50D VOL LME Comdty</stp>
        <stp>PX_LAST</stp>
        <stp>[Qwack - LMELookBackExample.xlsx]MetalCurves!R34C27</stp>
        <tr r="AA34" s="1"/>
      </tp>
      <tp>
        <v>28.089937210083008</v>
        <stp/>
        <stp>##V3_BDPV12</stp>
        <stp>LN JUN19 50D VOL LME Comdty</stp>
        <stp>PX_LAST</stp>
        <stp>[Qwack - LMELookBackExample.xlsx]MetalCurves!R10C36</stp>
        <tr r="AJ10" s="1"/>
      </tp>
      <tp>
        <v>29.78986930847168</v>
        <stp/>
        <stp>##V3_BDPV12</stp>
        <stp>LN JUN20 50D VOL LME Comdty</stp>
        <stp>PX_LAST</stp>
        <stp>[Qwack - LMELookBackExample.xlsx]MetalCurves!R22C36</stp>
        <tr r="AJ22" s="1"/>
      </tp>
      <tp>
        <v>28.449928283691406</v>
        <stp/>
        <stp>##V3_BDPV12</stp>
        <stp>LN JUL19 50D VOL LME Comdty</stp>
        <stp>PX_LAST</stp>
        <stp>[Qwack - LMELookBackExample.xlsx]MetalCurves!R11C36</stp>
        <tr r="AJ11" s="1"/>
      </tp>
      <tp>
        <v>29.789867401123047</v>
        <stp/>
        <stp>##V3_BDPV12</stp>
        <stp>LN JUL20 50D VOL LME Comdty</stp>
        <stp>PX_LAST</stp>
        <stp>[Qwack - LMELookBackExample.xlsx]MetalCurves!R23C36</stp>
        <tr r="AJ23" s="1"/>
      </tp>
      <tp>
        <v>18.289962768554688</v>
        <stp/>
        <stp>##V3_BDPV12</stp>
        <stp>LA AUG20 50D VOL LME Comdty</stp>
        <stp>PX_LAST</stp>
        <stp>[Qwack - LMELookBackExample.xlsx]MetalCurves!R24C27</stp>
        <tr r="AA24" s="1"/>
      </tp>
      <tp>
        <v>18.429977416992188</v>
        <stp/>
        <stp>##V3_BDPV12</stp>
        <stp>LA AUG19 50D VOL LME Comdty</stp>
        <stp>PX_LAST</stp>
        <stp>[Qwack - LMELookBackExample.xlsx]MetalCurves!R12C27</stp>
        <tr r="AA12" s="1"/>
      </tp>
      <tp>
        <v>18.14997673034668</v>
        <stp/>
        <stp>##V3_BDPV12</stp>
        <stp>LA AUG21 50D VOL LME Comdty</stp>
        <stp>PX_LAST</stp>
        <stp>[Qwack - LMELookBackExample.xlsx]MetalCurves!R36C27</stp>
        <tr r="AA36" s="1"/>
      </tp>
      <tp>
        <v>2.62</v>
        <stp/>
        <stp>##V3_BDPV12</stp>
        <stp>XAUSR2y Curncy</stp>
        <stp>PX_LAST</stp>
        <stp>[Qwack - LMELookBackExample.xlsx]MetalCurves!R71C3</stp>
        <tr r="C71" s="1"/>
      </tp>
      <tp>
        <v>20.349447250366211</v>
        <stp/>
        <stp>##V3_BDPV12</stp>
        <stp>LA MAY20 10DC VOL LME Comdty</stp>
        <stp>PX_LAST</stp>
        <stp>[Qwack - LMELookBackExample.xlsx]MetalCurves!R21C29</stp>
        <tr r="AC21" s="1"/>
      </tp>
      <tp>
        <v>19.629550933837891</v>
        <stp/>
        <stp>##V3_BDPV12</stp>
        <stp>LA MAY21 10DC VOL LME Comdty</stp>
        <stp>PX_LAST</stp>
        <stp>[Qwack - LMELookBackExample.xlsx]MetalCurves!R33C29</stp>
        <tr r="AC33" s="1"/>
      </tp>
      <tp>
        <v>19.559547424316406</v>
        <stp/>
        <stp>##V3_BDPV12</stp>
        <stp>LA MAY22 10DC VOL LME Comdty</stp>
        <stp>PX_LAST</stp>
        <stp>[Qwack - LMELookBackExample.xlsx]MetalCurves!R45C29</stp>
        <tr r="AC45" s="1"/>
      </tp>
      <tp>
        <v>19.479648590087891</v>
        <stp/>
        <stp>##V3_BDPV12</stp>
        <stp>LA MAY22 10DP VOL LME Comdty</stp>
        <stp>PX_LAST</stp>
        <stp>[Qwack - LMELookBackExample.xlsx]MetalCurves!R45C25</stp>
        <tr r="Y45" s="1"/>
      </tp>
      <tp>
        <v>19.449609756469727</v>
        <stp/>
        <stp>##V3_BDPV12</stp>
        <stp>LA MAY21 10DP VOL LME Comdty</stp>
        <stp>PX_LAST</stp>
        <stp>[Qwack - LMELookBackExample.xlsx]MetalCurves!R33C25</stp>
        <tr r="Y33" s="1"/>
      </tp>
      <tp>
        <v>19.379611968994141</v>
        <stp/>
        <stp>##V3_BDPV12</stp>
        <stp>LA MAY20 10DP VOL LME Comdty</stp>
        <stp>PX_LAST</stp>
        <stp>[Qwack - LMELookBackExample.xlsx]MetalCurves!R21C25</stp>
        <tr r="Y21" s="1"/>
      </tp>
      <tp>
        <v>-10</v>
        <stp/>
        <stp>##V3_BDPV12</stp>
        <stp>XPDSR1m Curncy</stp>
        <stp>PX_LAST</stp>
        <stp>[Qwack - LMELookBackExample.xlsx]MetalCurves!R75C3</stp>
        <tr r="C75" s="1"/>
      </tp>
      <tp>
        <v>19.299602508544922</v>
        <stp/>
        <stp>##V3_BDPV12</stp>
        <stp>LA NOV19 10DP VOL LME Comdty</stp>
        <stp>PX_LAST</stp>
        <stp>[Qwack - LMELookBackExample.xlsx]MetalCurves!R15C25</stp>
        <tr r="Y15" s="1"/>
      </tp>
      <tp>
        <v>20.389358520507813</v>
        <stp/>
        <stp>##V3_BDPV12</stp>
        <stp>LA NOV19 10DC VOL LME Comdty</stp>
        <stp>PX_LAST</stp>
        <stp>[Qwack - LMELookBackExample.xlsx]MetalCurves!R15C29</stp>
        <tr r="AC15" s="1"/>
      </tp>
      <tp>
        <v>19.99970817565918</v>
        <stp/>
        <stp>##V3_BDPV12</stp>
        <stp>LP AUG19 10DC VOL LME Comdty</stp>
        <stp>PX_LAST</stp>
        <stp>[Qwack - LMELookBackExample.xlsx]MetalCurves!R12C34</stp>
        <tr r="AH12" s="1"/>
      </tp>
      <tp>
        <v>21.73939323425293</v>
        <stp/>
        <stp>##V3_BDPV12</stp>
        <stp>LP AUG19 10DP VOL LME Comdty</stp>
        <stp>PX_LAST</stp>
        <stp>[Qwack - LMELookBackExample.xlsx]MetalCurves!R12C30</stp>
        <tr r="AD12" s="1"/>
      </tp>
      <tp>
        <v>20.62974739074707</v>
        <stp/>
        <stp>##V3_BDPV12</stp>
        <stp>LP AUG20 10DC VOL LME Comdty</stp>
        <stp>PX_LAST</stp>
        <stp>[Qwack - LMELookBackExample.xlsx]MetalCurves!R24C34</stp>
        <tr r="AH24" s="1"/>
      </tp>
      <tp>
        <v>20.599819183349609</v>
        <stp/>
        <stp>##V3_BDPV12</stp>
        <stp>LP AUG21 10DC VOL LME Comdty</stp>
        <stp>PX_LAST</stp>
        <stp>[Qwack - LMELookBackExample.xlsx]MetalCurves!R36C34</stp>
        <tr r="AH36" s="1"/>
      </tp>
      <tp>
        <v>23.649429321289063</v>
        <stp/>
        <stp>##V3_BDPV12</stp>
        <stp>LP AUG21 10DP VOL LME Comdty</stp>
        <stp>PX_LAST</stp>
        <stp>[Qwack - LMELookBackExample.xlsx]MetalCurves!R36C30</stp>
        <tr r="AD36" s="1"/>
      </tp>
      <tp>
        <v>23.249383926391602</v>
        <stp/>
        <stp>##V3_BDPV12</stp>
        <stp>LP AUG20 10DP VOL LME Comdty</stp>
        <stp>PX_LAST</stp>
        <stp>[Qwack - LMELookBackExample.xlsx]MetalCurves!R24C30</stp>
        <tr r="AD24" s="1"/>
      </tp>
      <tp>
        <v>19.849536895751953</v>
        <stp/>
        <stp>##V3_BDPV12</stp>
        <stp>LA NOV20 10DC VOL LME Comdty</stp>
        <stp>PX_LAST</stp>
        <stp>[Qwack - LMELookBackExample.xlsx]MetalCurves!R27C29</stp>
        <tr r="AC27" s="1"/>
      </tp>
      <tp>
        <v>19.649534225463867</v>
        <stp/>
        <stp>##V3_BDPV12</stp>
        <stp>LA NOV21 10DC VOL LME Comdty</stp>
        <stp>PX_LAST</stp>
        <stp>[Qwack - LMELookBackExample.xlsx]MetalCurves!R39C29</stp>
        <tr r="AC39" s="1"/>
      </tp>
      <tp>
        <v>19.449617385864258</v>
        <stp/>
        <stp>##V3_BDPV12</stp>
        <stp>LA NOV20 10DP VOL LME Comdty</stp>
        <stp>PX_LAST</stp>
        <stp>[Qwack - LMELookBackExample.xlsx]MetalCurves!R27C25</stp>
        <tr r="Y27" s="1"/>
      </tp>
      <tp>
        <v>19.529624938964844</v>
        <stp/>
        <stp>##V3_BDPV12</stp>
        <stp>LA NOV21 10DP VOL LME Comdty</stp>
        <stp>PX_LAST</stp>
        <stp>[Qwack - LMELookBackExample.xlsx]MetalCurves!R39C25</stp>
        <tr r="Y39" s="1"/>
      </tp>
      <tp>
        <v>12.074999999999999</v>
        <stp/>
        <stp>##V3_BDPV12</stp>
        <stp>XAUUSDV1y Comdty</stp>
        <stp>PX_LAST</stp>
        <stp>[Qwack - LMELookBackExample.xlsx]MetalCurves!R70C7</stp>
        <tr r="G70" s="1"/>
      </tp>
      <tp>
        <v>18.559823989868164</v>
        <stp/>
        <stp>##V3_BDPV12</stp>
        <stp>LA OCT19 25DP VOL LME Comdty</stp>
        <stp>PX_LAST</stp>
        <stp>[Qwack - LMELookBackExample.xlsx]MetalCurves!R14C26</stp>
        <tr r="Z14" s="1"/>
      </tp>
      <tp>
        <v>19.259393692016602</v>
        <stp/>
        <stp>##V3_BDPV12</stp>
        <stp>LA OCT19 25DC VOL LME Comdty</stp>
        <stp>PX_LAST</stp>
        <stp>[Qwack - LMELookBackExample.xlsx]MetalCurves!R14C28</stp>
        <tr r="AB14" s="1"/>
      </tp>
      <tp>
        <v>18.879459381103516</v>
        <stp/>
        <stp>##V3_BDPV12</stp>
        <stp>LA OCT21 25DC VOL LME Comdty</stp>
        <stp>PX_LAST</stp>
        <stp>[Qwack - LMELookBackExample.xlsx]MetalCurves!R38C28</stp>
        <tr r="AB38" s="1"/>
      </tp>
      <tp>
        <v>19.089469909667969</v>
        <stp/>
        <stp>##V3_BDPV12</stp>
        <stp>LA OCT20 25DC VOL LME Comdty</stp>
        <stp>PX_LAST</stp>
        <stp>[Qwack - LMELookBackExample.xlsx]MetalCurves!R26C28</stp>
        <tr r="AB26" s="1"/>
      </tp>
      <tp>
        <v>18.66981315612793</v>
        <stp/>
        <stp>##V3_BDPV12</stp>
        <stp>LA OCT21 25DP VOL LME Comdty</stp>
        <stp>PX_LAST</stp>
        <stp>[Qwack - LMELookBackExample.xlsx]MetalCurves!R38C26</stp>
        <tr r="Z38" s="1"/>
      </tp>
      <tp>
        <v>18.629806518554688</v>
        <stp/>
        <stp>##V3_BDPV12</stp>
        <stp>LA OCT20 25DP VOL LME Comdty</stp>
        <stp>PX_LAST</stp>
        <stp>[Qwack - LMELookBackExample.xlsx]MetalCurves!R26C26</stp>
        <tr r="Z26" s="1"/>
      </tp>
      <tp>
        <v>19.289615631103516</v>
        <stp/>
        <stp>##V3_BDPV12</stp>
        <stp>LA OCT19 10DP VOL LME Comdty</stp>
        <stp>PX_LAST</stp>
        <stp>[Qwack - LMELookBackExample.xlsx]MetalCurves!R14C25</stp>
        <tr r="Y14" s="1"/>
      </tp>
      <tp>
        <v>20.43934440612793</v>
        <stp/>
        <stp>##V3_BDPV12</stp>
        <stp>LA OCT19 10DC VOL LME Comdty</stp>
        <stp>PX_LAST</stp>
        <stp>[Qwack - LMELookBackExample.xlsx]MetalCurves!R14C29</stp>
        <tr r="AC14" s="1"/>
      </tp>
      <tp>
        <v>19.669530868530273</v>
        <stp/>
        <stp>##V3_BDPV12</stp>
        <stp>LA OCT21 10DC VOL LME Comdty</stp>
        <stp>PX_LAST</stp>
        <stp>[Qwack - LMELookBackExample.xlsx]MetalCurves!R38C29</stp>
        <tr r="AC38" s="1"/>
      </tp>
      <tp>
        <v>19.899534225463867</v>
        <stp/>
        <stp>##V3_BDPV12</stp>
        <stp>LA OCT20 10DC VOL LME Comdty</stp>
        <stp>PX_LAST</stp>
        <stp>[Qwack - LMELookBackExample.xlsx]MetalCurves!R26C29</stp>
        <tr r="AC26" s="1"/>
      </tp>
      <tp>
        <v>19.529621124267578</v>
        <stp/>
        <stp>##V3_BDPV12</stp>
        <stp>LA OCT21 10DP VOL LME Comdty</stp>
        <stp>PX_LAST</stp>
        <stp>[Qwack - LMELookBackExample.xlsx]MetalCurves!R38C25</stp>
        <tr r="Y38" s="1"/>
      </tp>
      <tp>
        <v>19.439617156982422</v>
        <stp/>
        <stp>##V3_BDPV12</stp>
        <stp>LA OCT20 10DP VOL LME Comdty</stp>
        <stp>PX_LAST</stp>
        <stp>[Qwack - LMELookBackExample.xlsx]MetalCurves!R26C25</stp>
        <tr r="Y26" s="1"/>
      </tp>
      <tp>
        <v>-10</v>
        <stp/>
        <stp>##V3_BDPV12</stp>
        <stp>XPDSR6m Curncy</stp>
        <stp>PX_LAST</stp>
        <stp>[Qwack - LMELookBackExample.xlsx]MetalCurves!R78C3</stp>
        <tr r="C78" s="1"/>
      </tp>
      <tp>
        <v>-9</v>
        <stp/>
        <stp>##V3_BDPV12</stp>
        <stp>XPDSR12m Curncy</stp>
        <stp>PX_LAST</stp>
        <stp>[Qwack - LMELookBackExample.xlsx]MetalCurves!R80C3</stp>
        <tr r="C80" s="1"/>
      </tp>
      <tp>
        <v>2.68</v>
        <stp/>
        <stp>##V3_BDPV12</stp>
        <stp>XAUSR12m Curncy</stp>
        <stp>PX_LAST</stp>
        <stp>[Qwack - LMELookBackExample.xlsx]MetalCurves!R70C3</stp>
        <tr r="C70" s="1"/>
      </tp>
      <tp>
        <v>13.175000000000001</v>
        <stp/>
        <stp>##V3_BDPV12</stp>
        <stp>XAUUSDV2y Comdty</stp>
        <stp>PX_LAST</stp>
        <stp>[Qwack - LMELookBackExample.xlsx]MetalCurves!R72C7</stp>
        <tr r="G72" s="1"/>
      </tp>
      <tp>
        <v>20.409517288208008</v>
        <stp/>
        <stp>##V3_BDPV12</stp>
        <stp>LP AUG19 25DP VOL LME Comdty</stp>
        <stp>PX_LAST</stp>
        <stp>[Qwack - LMELookBackExample.xlsx]MetalCurves!R12C31</stp>
        <tr r="AE12" s="1"/>
      </tp>
      <tp>
        <v>19.519704818725586</v>
        <stp/>
        <stp>##V3_BDPV12</stp>
        <stp>LP AUG19 25DC VOL LME Comdty</stp>
        <stp>PX_LAST</stp>
        <stp>[Qwack - LMELookBackExample.xlsx]MetalCurves!R12C33</stp>
        <tr r="AG12" s="1"/>
      </tp>
      <tp>
        <v>18.529821395874023</v>
        <stp/>
        <stp>##V3_BDPV12</stp>
        <stp>LA NOV19 25DP VOL LME Comdty</stp>
        <stp>PX_LAST</stp>
        <stp>[Qwack - LMELookBackExample.xlsx]MetalCurves!R15C26</stp>
        <tr r="Z15" s="1"/>
      </tp>
      <tp>
        <v>19.239395141601563</v>
        <stp/>
        <stp>##V3_BDPV12</stp>
        <stp>LA NOV19 25DC VOL LME Comdty</stp>
        <stp>PX_LAST</stp>
        <stp>[Qwack - LMELookBackExample.xlsx]MetalCurves!R15C28</stp>
        <tr r="AB15" s="1"/>
      </tp>
      <tp>
        <v>19.049474716186523</v>
        <stp/>
        <stp>##V3_BDPV12</stp>
        <stp>LA NOV20 25DC VOL LME Comdty</stp>
        <stp>PX_LAST</stp>
        <stp>[Qwack - LMELookBackExample.xlsx]MetalCurves!R27C28</stp>
        <tr r="AB27" s="1"/>
      </tp>
      <tp>
        <v>18.869461059570313</v>
        <stp/>
        <stp>##V3_BDPV12</stp>
        <stp>LA NOV21 25DC VOL LME Comdty</stp>
        <stp>PX_LAST</stp>
        <stp>[Qwack - LMELookBackExample.xlsx]MetalCurves!R39C28</stp>
        <tr r="AB39" s="1"/>
      </tp>
      <tp>
        <v>18.649805068969727</v>
        <stp/>
        <stp>##V3_BDPV12</stp>
        <stp>LA NOV20 25DP VOL LME Comdty</stp>
        <stp>PX_LAST</stp>
        <stp>[Qwack - LMELookBackExample.xlsx]MetalCurves!R27C26</stp>
        <tr r="Z27" s="1"/>
      </tp>
      <tp>
        <v>18.669816970825195</v>
        <stp/>
        <stp>##V3_BDPV12</stp>
        <stp>LA NOV21 25DP VOL LME Comdty</stp>
        <stp>PX_LAST</stp>
        <stp>[Qwack - LMELookBackExample.xlsx]MetalCurves!R39C26</stp>
        <tr r="Z39" s="1"/>
      </tp>
      <tp>
        <v>20.239709854125977</v>
        <stp/>
        <stp>##V3_BDPV12</stp>
        <stp>LP AUG20 25DC VOL LME Comdty</stp>
        <stp>PX_LAST</stp>
        <stp>[Qwack - LMELookBackExample.xlsx]MetalCurves!R24C33</stp>
        <tr r="AG24" s="1"/>
      </tp>
      <tp>
        <v>20.339723587036133</v>
        <stp/>
        <stp>##V3_BDPV12</stp>
        <stp>LP AUG21 25DC VOL LME Comdty</stp>
        <stp>PX_LAST</stp>
        <stp>[Qwack - LMELookBackExample.xlsx]MetalCurves!R36C33</stp>
        <tr r="AG36" s="1"/>
      </tp>
      <tp>
        <v>21.969573974609375</v>
        <stp/>
        <stp>##V3_BDPV12</stp>
        <stp>LP AUG21 25DP VOL LME Comdty</stp>
        <stp>PX_LAST</stp>
        <stp>[Qwack - LMELookBackExample.xlsx]MetalCurves!R36C31</stp>
        <tr r="AE36" s="1"/>
      </tp>
      <tp>
        <v>21.669528961181641</v>
        <stp/>
        <stp>##V3_BDPV12</stp>
        <stp>LP AUG20 25DP VOL LME Comdty</stp>
        <stp>PX_LAST</stp>
        <stp>[Qwack - LMELookBackExample.xlsx]MetalCurves!R24C31</stp>
        <tr r="AE24" s="1"/>
      </tp>
      <tp>
        <v>-9</v>
        <stp/>
        <stp>##V3_BDPV12</stp>
        <stp>XPDSR9m Curncy</stp>
        <stp>PX_LAST</stp>
        <stp>[Qwack - LMELookBackExample.xlsx]MetalCurves!R79C3</stp>
        <tr r="C79" s="1"/>
      </tp>
      <tp>
        <v>14.327500000000001</v>
        <stp/>
        <stp>##V3_BDPV12</stp>
        <stp>XAUUSDV3y Comdty</stp>
        <stp>PX_LAST</stp>
        <stp>[Qwack - LMELookBackExample.xlsx]MetalCurves!R73C7</stp>
        <tr r="G73" s="1"/>
      </tp>
      <tp>
        <v>22.649375915527344</v>
        <stp/>
        <stp>##V3_BDPV12</stp>
        <stp>LP DEC19 10DP VOL LME Comdty</stp>
        <stp>PX_LAST</stp>
        <stp>[Qwack - LMELookBackExample.xlsx]MetalCurves!R16C30</stp>
        <tr r="AD16" s="1"/>
      </tp>
      <tp>
        <v>20.449735641479492</v>
        <stp/>
        <stp>##V3_BDPV12</stp>
        <stp>LP DEC19 10DC VOL LME Comdty</stp>
        <stp>PX_LAST</stp>
        <stp>[Qwack - LMELookBackExample.xlsx]MetalCurves!R16C34</stp>
        <tr r="AH16" s="1"/>
      </tp>
      <tp>
        <v>20.599815368652344</v>
        <stp/>
        <stp>##V3_BDPV12</stp>
        <stp>LP DEC21 10DC VOL LME Comdty</stp>
        <stp>PX_LAST</stp>
        <stp>[Qwack - LMELookBackExample.xlsx]MetalCurves!R40C34</stp>
        <tr r="AH40" s="1"/>
      </tp>
      <tp>
        <v>23.50938606262207</v>
        <stp/>
        <stp>##V3_BDPV12</stp>
        <stp>LP DEC20 10DP VOL LME Comdty</stp>
        <stp>PX_LAST</stp>
        <stp>[Qwack - LMELookBackExample.xlsx]MetalCurves!R28C30</stp>
        <tr r="AD28" s="1"/>
      </tp>
      <tp>
        <v>23.669443130493164</v>
        <stp/>
        <stp>##V3_BDPV12</stp>
        <stp>LP DEC21 10DP VOL LME Comdty</stp>
        <stp>PX_LAST</stp>
        <stp>[Qwack - LMELookBackExample.xlsx]MetalCurves!R40C30</stp>
        <tr r="AD40" s="1"/>
      </tp>
      <tp>
        <v>20.659780502319336</v>
        <stp/>
        <stp>##V3_BDPV12</stp>
        <stp>LP DEC20 10DC VOL LME Comdty</stp>
        <stp>PX_LAST</stp>
        <stp>[Qwack - LMELookBackExample.xlsx]MetalCurves!R28C34</stp>
        <tr r="AH28" s="1"/>
      </tp>
      <tp>
        <v>20.459388732910156</v>
        <stp/>
        <stp>##V3_BDPV12</stp>
        <stp>LA MAR20 10DC VOL LME Comdty</stp>
        <stp>PX_LAST</stp>
        <stp>[Qwack - LMELookBackExample.xlsx]MetalCurves!R19C29</stp>
        <tr r="AC19" s="1"/>
      </tp>
      <tp>
        <v>19.449609756469727</v>
        <stp/>
        <stp>##V3_BDPV12</stp>
        <stp>LA APR21 10DP VOL LME Comdty</stp>
        <stp>PX_LAST</stp>
        <stp>[Qwack - LMELookBackExample.xlsx]MetalCurves!R32C25</stp>
        <tr r="Y32" s="1"/>
      </tp>
      <tp>
        <v>19.689550399780273</v>
        <stp/>
        <stp>##V3_BDPV12</stp>
        <stp>LA MAR21 10DC VOL LME Comdty</stp>
        <stp>PX_LAST</stp>
        <stp>[Qwack - LMELookBackExample.xlsx]MetalCurves!R31C29</stp>
        <tr r="AC31" s="1"/>
      </tp>
      <tp>
        <v>19.369607925415039</v>
        <stp/>
        <stp>##V3_BDPV12</stp>
        <stp>LA APR20 10DP VOL LME Comdty</stp>
        <stp>PX_LAST</stp>
        <stp>[Qwack - LMELookBackExample.xlsx]MetalCurves!R20C25</stp>
        <tr r="Y20" s="1"/>
      </tp>
      <tp>
        <v>19.519643783569336</v>
        <stp/>
        <stp>##V3_BDPV12</stp>
        <stp>LA APR22 10DP VOL LME Comdty</stp>
        <stp>PX_LAST</stp>
        <stp>[Qwack - LMELookBackExample.xlsx]MetalCurves!R44C25</stp>
        <tr r="Y44" s="1"/>
      </tp>
      <tp>
        <v>19.599546432495117</v>
        <stp/>
        <stp>##V3_BDPV12</stp>
        <stp>LA MAR22 10DC VOL LME Comdty</stp>
        <stp>PX_LAST</stp>
        <stp>[Qwack - LMELookBackExample.xlsx]MetalCurves!R43C29</stp>
        <tr r="AC43" s="1"/>
      </tp>
      <tp>
        <v>19.59954833984375</v>
        <stp/>
        <stp>##V3_BDPV12</stp>
        <stp>LA APR22 10DC VOL LME Comdty</stp>
        <stp>PX_LAST</stp>
        <stp>[Qwack - LMELookBackExample.xlsx]MetalCurves!R44C29</stp>
        <tr r="AC44" s="1"/>
      </tp>
      <tp>
        <v>19.549636840820313</v>
        <stp/>
        <stp>##V3_BDPV12</stp>
        <stp>LA MAR22 10DP VOL LME Comdty</stp>
        <stp>PX_LAST</stp>
        <stp>[Qwack - LMELookBackExample.xlsx]MetalCurves!R43C25</stp>
        <tr r="Y43" s="1"/>
      </tp>
      <tp>
        <v>19.359601974487305</v>
        <stp/>
        <stp>##V3_BDPV12</stp>
        <stp>LA MAR20 10DP VOL LME Comdty</stp>
        <stp>PX_LAST</stp>
        <stp>[Qwack - LMELookBackExample.xlsx]MetalCurves!R19C25</stp>
        <tr r="Y19" s="1"/>
      </tp>
      <tp>
        <v>20.389410018920898</v>
        <stp/>
        <stp>##V3_BDPV12</stp>
        <stp>LA APR20 10DC VOL LME Comdty</stp>
        <stp>PX_LAST</stp>
        <stp>[Qwack - LMELookBackExample.xlsx]MetalCurves!R20C29</stp>
        <tr r="AC20" s="1"/>
      </tp>
      <tp>
        <v>19.45960807800293</v>
        <stp/>
        <stp>##V3_BDPV12</stp>
        <stp>LA MAR21 10DP VOL LME Comdty</stp>
        <stp>PX_LAST</stp>
        <stp>[Qwack - LMELookBackExample.xlsx]MetalCurves!R31C25</stp>
        <tr r="Y31" s="1"/>
      </tp>
      <tp>
        <v>19.649551391601563</v>
        <stp/>
        <stp>##V3_BDPV12</stp>
        <stp>LA APR21 10DC VOL LME Comdty</stp>
        <stp>PX_LAST</stp>
        <stp>[Qwack - LMELookBackExample.xlsx]MetalCurves!R32C29</stp>
        <tr r="AC32" s="1"/>
      </tp>
      <tp>
        <v>15.445</v>
        <stp/>
        <stp>##V3_BDPV12</stp>
        <stp>XAUUSDV4y Comdty</stp>
        <stp>PX_LAST</stp>
        <stp>[Qwack - LMELookBackExample.xlsx]MetalCurves!R74C7</stp>
        <tr r="G74" s="1"/>
      </tp>
      <tp>
        <v>20.609806060791016</v>
        <stp/>
        <stp>##V3_BDPV12</stp>
        <stp>LP FEB22 10DC VOL LME Comdty</stp>
        <stp>PX_LAST</stp>
        <stp>[Qwack - LMELookBackExample.xlsx]MetalCurves!R42C34</stp>
        <tr r="AH42" s="1"/>
      </tp>
      <tp>
        <v>23.539394378662109</v>
        <stp/>
        <stp>##V3_BDPV12</stp>
        <stp>LP FEB21 10DP VOL LME Comdty</stp>
        <stp>PX_LAST</stp>
        <stp>[Qwack - LMELookBackExample.xlsx]MetalCurves!R30C30</stp>
        <tr r="AD30" s="1"/>
      </tp>
      <tp>
        <v>22.779388427734375</v>
        <stp/>
        <stp>##V3_BDPV12</stp>
        <stp>LP FEB20 10DP VOL LME Comdty</stp>
        <stp>PX_LAST</stp>
        <stp>[Qwack - LMELookBackExample.xlsx]MetalCurves!R18C30</stp>
        <tr r="AD18" s="1"/>
      </tp>
      <tp>
        <v>20.659793853759766</v>
        <stp/>
        <stp>##V3_BDPV12</stp>
        <stp>LP FEB21 10DC VOL LME Comdty</stp>
        <stp>PX_LAST</stp>
        <stp>[Qwack - LMELookBackExample.xlsx]MetalCurves!R30C34</stp>
        <tr r="AH30" s="1"/>
      </tp>
      <tp>
        <v>23.679458618164063</v>
        <stp/>
        <stp>##V3_BDPV12</stp>
        <stp>LP FEB22 10DP VOL LME Comdty</stp>
        <stp>PX_LAST</stp>
        <stp>[Qwack - LMELookBackExample.xlsx]MetalCurves!R42C30</stp>
        <tr r="AD42" s="1"/>
      </tp>
      <tp>
        <v>20.479738235473633</v>
        <stp/>
        <stp>##V3_BDPV12</stp>
        <stp>LP FEB20 10DC VOL LME Comdty</stp>
        <stp>PX_LAST</stp>
        <stp>[Qwack - LMELookBackExample.xlsx]MetalCurves!R18C34</stp>
        <tr r="AH18" s="1"/>
      </tp>
      <tp>
        <v>19.319385528564453</v>
        <stp/>
        <stp>##V3_BDPV12</stp>
        <stp>LA SEP19 25DC VOL LME Comdty</stp>
        <stp>PX_LAST</stp>
        <stp>[Qwack - LMELookBackExample.xlsx]MetalCurves!R13C28</stp>
        <tr r="AB13" s="1"/>
      </tp>
      <tp>
        <v>18.589826583862305</v>
        <stp/>
        <stp>##V3_BDPV12</stp>
        <stp>LA SEP19 25DP VOL LME Comdty</stp>
        <stp>PX_LAST</stp>
        <stp>[Qwack - LMELookBackExample.xlsx]MetalCurves!R13C26</stp>
        <tr r="Z13" s="1"/>
      </tp>
      <tp>
        <v>18.66981315612793</v>
        <stp/>
        <stp>##V3_BDPV12</stp>
        <stp>LA SEP21 25DP VOL LME Comdty</stp>
        <stp>PX_LAST</stp>
        <stp>[Qwack - LMELookBackExample.xlsx]MetalCurves!R37C26</stp>
        <tr r="Z37" s="1"/>
      </tp>
      <tp>
        <v>18.639808654785156</v>
        <stp/>
        <stp>##V3_BDPV12</stp>
        <stp>LA SEP20 25DP VOL LME Comdty</stp>
        <stp>PX_LAST</stp>
        <stp>[Qwack - LMELookBackExample.xlsx]MetalCurves!R25C26</stp>
        <tr r="Z25" s="1"/>
      </tp>
      <tp>
        <v>19.129465103149414</v>
        <stp/>
        <stp>##V3_BDPV12</stp>
        <stp>LA SEP20 25DC VOL LME Comdty</stp>
        <stp>PX_LAST</stp>
        <stp>[Qwack - LMELookBackExample.xlsx]MetalCurves!R25C28</stp>
        <tr r="AB25" s="1"/>
      </tp>
      <tp>
        <v>18.899457931518555</v>
        <stp/>
        <stp>##V3_BDPV12</stp>
        <stp>LA SEP21 25DC VOL LME Comdty</stp>
        <stp>PX_LAST</stp>
        <stp>[Qwack - LMELookBackExample.xlsx]MetalCurves!R37C28</stp>
        <tr r="AB37" s="1"/>
      </tp>
      <tp>
        <v>1288.6600000000001</v>
        <stp/>
        <stp>##V3_BDPV12</stp>
        <stp>XAU Curncy</stp>
        <stp>PX_LAST</stp>
        <stp>[Qwack - LMELookBackExample.xlsx]MetalCurves!R3C22</stp>
        <tr r="V3" s="1"/>
      </tp>
      <tp>
        <v>2.5299999999999998</v>
        <stp/>
        <stp>##V3_BDPV12</stp>
        <stp>XAUSR1w Curncy</stp>
        <stp>PX_LAST</stp>
        <stp>[Qwack - LMELookBackExample.xlsx]MetalCurves!R64C3</stp>
        <tr r="C64" s="1"/>
      </tp>
      <tp>
        <v>16.157499999999999</v>
        <stp/>
        <stp>##V3_BDPV12</stp>
        <stp>XAUUSDV5y Comdty</stp>
        <stp>PX_LAST</stp>
        <stp>[Qwack - LMELookBackExample.xlsx]MetalCurves!R75C7</stp>
        <tr r="G75" s="1"/>
      </tp>
      <tp>
        <v>20.549337387084961</v>
        <stp/>
        <stp>##V3_BDPV12</stp>
        <stp>LA SEP19 10DC VOL LME Comdty</stp>
        <stp>PX_LAST</stp>
        <stp>[Qwack - LMELookBackExample.xlsx]MetalCurves!R13C29</stp>
        <tr r="AC13" s="1"/>
      </tp>
      <tp>
        <v>19.269624710083008</v>
        <stp/>
        <stp>##V3_BDPV12</stp>
        <stp>LA SEP19 10DP VOL LME Comdty</stp>
        <stp>PX_LAST</stp>
        <stp>[Qwack - LMELookBackExample.xlsx]MetalCurves!R13C25</stp>
        <tr r="Y13" s="1"/>
      </tp>
      <tp>
        <v>19.519618988037109</v>
        <stp/>
        <stp>##V3_BDPV12</stp>
        <stp>LA SEP21 10DP VOL LME Comdty</stp>
        <stp>PX_LAST</stp>
        <stp>[Qwack - LMELookBackExample.xlsx]MetalCurves!R37C25</stp>
        <tr r="Y37" s="1"/>
      </tp>
      <tp>
        <v>19.429618835449219</v>
        <stp/>
        <stp>##V3_BDPV12</stp>
        <stp>LA SEP20 10DP VOL LME Comdty</stp>
        <stp>PX_LAST</stp>
        <stp>[Qwack - LMELookBackExample.xlsx]MetalCurves!R25C25</stp>
        <tr r="Y25" s="1"/>
      </tp>
      <tp>
        <v>19.979526519775391</v>
        <stp/>
        <stp>##V3_BDPV12</stp>
        <stp>LA SEP20 10DC VOL LME Comdty</stp>
        <stp>PX_LAST</stp>
        <stp>[Qwack - LMELookBackExample.xlsx]MetalCurves!R25C29</stp>
        <tr r="AC25" s="1"/>
      </tp>
      <tp>
        <v>19.699531555175781</v>
        <stp/>
        <stp>##V3_BDPV12</stp>
        <stp>LA SEP21 10DC VOL LME Comdty</stp>
        <stp>PX_LAST</stp>
        <stp>[Qwack - LMELookBackExample.xlsx]MetalCurves!R37C29</stp>
        <tr r="AC37" s="1"/>
      </tp>
      <tp>
        <v>21.869548797607422</v>
        <stp/>
        <stp>##V3_BDPV12</stp>
        <stp>LP FEB21 25DP VOL LME Comdty</stp>
        <stp>PX_LAST</stp>
        <stp>[Qwack - LMELookBackExample.xlsx]MetalCurves!R30C31</stp>
        <tr r="AE30" s="1"/>
      </tp>
      <tp>
        <v>20.059715270996094</v>
        <stp/>
        <stp>##V3_BDPV12</stp>
        <stp>LP FEB20 25DC VOL LME Comdty</stp>
        <stp>PX_LAST</stp>
        <stp>[Qwack - LMELookBackExample.xlsx]MetalCurves!R18C33</stp>
        <tr r="AG18" s="1"/>
      </tp>
      <tp>
        <v>20.339723587036133</v>
        <stp/>
        <stp>##V3_BDPV12</stp>
        <stp>LP FEB21 25DC VOL LME Comdty</stp>
        <stp>PX_LAST</stp>
        <stp>[Qwack - LMELookBackExample.xlsx]MetalCurves!R30C33</stp>
        <tr r="AG30" s="1"/>
      </tp>
      <tp>
        <v>21.309514999389648</v>
        <stp/>
        <stp>##V3_BDPV12</stp>
        <stp>LP FEB20 25DP VOL LME Comdty</stp>
        <stp>PX_LAST</stp>
        <stp>[Qwack - LMELookBackExample.xlsx]MetalCurves!R18C31</stp>
        <tr r="AE18" s="1"/>
      </tp>
      <tp>
        <v>22.019615173339844</v>
        <stp/>
        <stp>##V3_BDPV12</stp>
        <stp>LP FEB22 25DP VOL LME Comdty</stp>
        <stp>PX_LAST</stp>
        <stp>[Qwack - LMELookBackExample.xlsx]MetalCurves!R42C31</stp>
        <tr r="AE42" s="1"/>
      </tp>
      <tp>
        <v>20.349708557128906</v>
        <stp/>
        <stp>##V3_BDPV12</stp>
        <stp>LP FEB22 25DC VOL LME Comdty</stp>
        <stp>PX_LAST</stp>
        <stp>[Qwack - LMELookBackExample.xlsx]MetalCurves!R42C33</stp>
        <tr r="AG42" s="1"/>
      </tp>
      <tp>
        <v>4662</v>
        <stp/>
        <stp>##V3_BDPV12</stp>
        <stp>ZAR9m Curncy</stp>
        <stp>PX_LAST</stp>
        <stp>[Qwack - LMELookBackExample.xlsx]FundingFx!R8C2</stp>
        <tr r="B8" s="2"/>
      </tp>
      <tp>
        <v>21.169506072998047</v>
        <stp/>
        <stp>##V3_BDPV12</stp>
        <stp>LP DEC19 25DP VOL LME Comdty</stp>
        <stp>PX_LAST</stp>
        <stp>[Qwack - LMELookBackExample.xlsx]MetalCurves!R16C31</stp>
        <tr r="AE16" s="1"/>
      </tp>
      <tp>
        <v>20.019716262817383</v>
        <stp/>
        <stp>##V3_BDPV12</stp>
        <stp>LP DEC19 25DC VOL LME Comdty</stp>
        <stp>PX_LAST</stp>
        <stp>[Qwack - LMELookBackExample.xlsx]MetalCurves!R16C33</stp>
        <tr r="AG16" s="1"/>
      </tp>
      <tp>
        <v>18.589807510375977</v>
        <stp/>
        <stp>##V3_BDPV12</stp>
        <stp>LA APR21 25DP VOL LME Comdty</stp>
        <stp>PX_LAST</stp>
        <stp>[Qwack - LMELookBackExample.xlsx]MetalCurves!R32C26</stp>
        <tr r="Z32" s="1"/>
      </tp>
      <tp>
        <v>18.599819183349609</v>
        <stp/>
        <stp>##V3_BDPV12</stp>
        <stp>LA APR20 25DP VOL LME Comdty</stp>
        <stp>PX_LAST</stp>
        <stp>[Qwack - LMELookBackExample.xlsx]MetalCurves!R20C26</stp>
        <tr r="Z20" s="1"/>
      </tp>
      <tp>
        <v>19.349363327026367</v>
        <stp/>
        <stp>##V3_BDPV12</stp>
        <stp>LA MAR20 25DC VOL LME Comdty</stp>
        <stp>PX_LAST</stp>
        <stp>[Qwack - LMELookBackExample.xlsx]MetalCurves!R19C28</stp>
        <tr r="AB19" s="1"/>
      </tp>
      <tp>
        <v>18.919488906860352</v>
        <stp/>
        <stp>##V3_BDPV12</stp>
        <stp>LA MAR21 25DC VOL LME Comdty</stp>
        <stp>PX_LAST</stp>
        <stp>[Qwack - LMELookBackExample.xlsx]MetalCurves!R31C28</stp>
        <tr r="AB31" s="1"/>
      </tp>
      <tp>
        <v>18.689828872680664</v>
        <stp/>
        <stp>##V3_BDPV12</stp>
        <stp>LA APR22 25DP VOL LME Comdty</stp>
        <stp>PX_LAST</stp>
        <stp>[Qwack - LMELookBackExample.xlsx]MetalCurves!R44C26</stp>
        <tr r="Z44" s="1"/>
      </tp>
      <tp>
        <v>18.849468231201172</v>
        <stp/>
        <stp>##V3_BDPV12</stp>
        <stp>LA MAR22 25DC VOL LME Comdty</stp>
        <stp>PX_LAST</stp>
        <stp>[Qwack - LMELookBackExample.xlsx]MetalCurves!R43C28</stp>
        <tr r="AB43" s="1"/>
      </tp>
      <tp>
        <v>18.689825057983398</v>
        <stp/>
        <stp>##V3_BDPV12</stp>
        <stp>LA MAR22 25DP VOL LME Comdty</stp>
        <stp>PX_LAST</stp>
        <stp>[Qwack - LMELookBackExample.xlsx]MetalCurves!R43C26</stp>
        <tr r="Z43" s="1"/>
      </tp>
      <tp>
        <v>18.849466323852539</v>
        <stp/>
        <stp>##V3_BDPV12</stp>
        <stp>LA APR22 25DC VOL LME Comdty</stp>
        <stp>PX_LAST</stp>
        <stp>[Qwack - LMELookBackExample.xlsx]MetalCurves!R44C28</stp>
        <tr r="AB44" s="1"/>
      </tp>
      <tp>
        <v>18.609806060791016</v>
        <stp/>
        <stp>##V3_BDPV12</stp>
        <stp>LA MAR21 25DP VOL LME Comdty</stp>
        <stp>PX_LAST</stp>
        <stp>[Qwack - LMELookBackExample.xlsx]MetalCurves!R31C26</stp>
        <tr r="Z31" s="1"/>
      </tp>
      <tp>
        <v>19.319375991821289</v>
        <stp/>
        <stp>##V3_BDPV12</stp>
        <stp>LA APR20 25DC VOL LME Comdty</stp>
        <stp>PX_LAST</stp>
        <stp>[Qwack - LMELookBackExample.xlsx]MetalCurves!R20C28</stp>
        <tr r="AB20" s="1"/>
      </tp>
      <tp>
        <v>18.879489898681641</v>
        <stp/>
        <stp>##V3_BDPV12</stp>
        <stp>LA APR21 25DC VOL LME Comdty</stp>
        <stp>PX_LAST</stp>
        <stp>[Qwack - LMELookBackExample.xlsx]MetalCurves!R32C28</stp>
        <tr r="AB32" s="1"/>
      </tp>
      <tp>
        <v>18.599819183349609</v>
        <stp/>
        <stp>##V3_BDPV12</stp>
        <stp>LA MAR20 25DP VOL LME Comdty</stp>
        <stp>PX_LAST</stp>
        <stp>[Qwack - LMELookBackExample.xlsx]MetalCurves!R19C26</stp>
        <tr r="Z19" s="1"/>
      </tp>
      <tp>
        <v>20.3397216796875</v>
        <stp/>
        <stp>##V3_BDPV12</stp>
        <stp>LP DEC20 25DC VOL LME Comdty</stp>
        <stp>PX_LAST</stp>
        <stp>[Qwack - LMELookBackExample.xlsx]MetalCurves!R28C33</stp>
        <tr r="AG28" s="1"/>
      </tp>
      <tp>
        <v>21.859539031982422</v>
        <stp/>
        <stp>##V3_BDPV12</stp>
        <stp>LP DEC20 25DP VOL LME Comdty</stp>
        <stp>PX_LAST</stp>
        <stp>[Qwack - LMELookBackExample.xlsx]MetalCurves!R28C31</stp>
        <tr r="AE28" s="1"/>
      </tp>
      <tp>
        <v>21.97960090637207</v>
        <stp/>
        <stp>##V3_BDPV12</stp>
        <stp>LP DEC21 25DP VOL LME Comdty</stp>
        <stp>PX_LAST</stp>
        <stp>[Qwack - LMELookBackExample.xlsx]MetalCurves!R40C31</stp>
        <tr r="AE40" s="1"/>
      </tp>
      <tp>
        <v>20.349716186523438</v>
        <stp/>
        <stp>##V3_BDPV12</stp>
        <stp>LP DEC21 25DC VOL LME Comdty</stp>
        <stp>PX_LAST</stp>
        <stp>[Qwack - LMELookBackExample.xlsx]MetalCurves!R40C33</stp>
        <tr r="AG40" s="1"/>
      </tp>
      <tp>
        <v>9692</v>
        <stp/>
        <stp>##V3_BDPV12</stp>
        <stp>ZAR18m Curncy</stp>
        <stp>PX_LAST</stp>
        <stp>[Qwack - LMELookBackExample.xlsx]FundingFx!R10C2</stp>
        <tr r="B10" s="2"/>
      </tp>
      <tp>
        <v>-284.25</v>
        <stp/>
        <stp>##V3_BDPV12</stp>
        <stp>LMAHDS 03X22 Comdty</stp>
        <stp>PX_SETTLE</stp>
        <stp>[Qwack - LMELookBackExample.xlsx]MetalCurves!R53C5</stp>
        <tr r="E53" s="1"/>
      </tp>
      <tp>
        <v>-87</v>
        <stp/>
        <stp>##V3_BDPV12</stp>
        <stp>LMCADS 03X22 Comdty</stp>
        <stp>PX_SETTLE</stp>
        <stp>[Qwack - LMELookBackExample.xlsx]MetalCurves!R53C8</stp>
        <tr r="H53" s="1"/>
      </tp>
      <tp>
        <v>-136</v>
        <stp/>
        <stp>##V3_BDPV12</stp>
        <stp>LMAHDS 03Z20 Comdty</stp>
        <stp>PX_SETTLE</stp>
        <stp>[Qwack - LMELookBackExample.xlsx]MetalCurves!R30C5</stp>
        <tr r="E30" s="1"/>
      </tp>
      <tp>
        <v>-51</v>
        <stp/>
        <stp>##V3_BDPV12</stp>
        <stp>LMCADS 03Z20 Comdty</stp>
        <stp>PX_SETTLE</stp>
        <stp>[Qwack - LMELookBackExample.xlsx]MetalCurves!R30C8</stp>
        <tr r="H30" s="1"/>
      </tp>
      <tp>
        <v>-189</v>
        <stp/>
        <stp>##V3_BDPV12</stp>
        <stp>LMAHDS 03Q21 Comdty</stp>
        <stp>PX_SETTLE</stp>
        <stp>[Qwack - LMELookBackExample.xlsx]MetalCurves!R38C5</stp>
        <tr r="E38" s="1"/>
      </tp>
      <tp>
        <v>-208.5</v>
        <stp/>
        <stp>##V3_BDPV12</stp>
        <stp>LMAHDS 03X21 Comdty</stp>
        <stp>PX_SETTLE</stp>
        <stp>[Qwack - LMELookBackExample.xlsx]MetalCurves!R41C5</stp>
        <tr r="E41" s="1"/>
      </tp>
      <tp>
        <v>-65</v>
        <stp/>
        <stp>##V3_BDPV12</stp>
        <stp>LMCADS 03Q21 Comdty</stp>
        <stp>PX_SETTLE</stp>
        <stp>[Qwack - LMELookBackExample.xlsx]MetalCurves!R38C8</stp>
        <tr r="H38" s="1"/>
      </tp>
      <tp>
        <v>-69.5</v>
        <stp/>
        <stp>##V3_BDPV12</stp>
        <stp>LMCADS 03X21 Comdty</stp>
        <stp>PX_SETTLE</stp>
        <stp>[Qwack - LMELookBackExample.xlsx]MetalCurves!R41C8</stp>
        <tr r="H41" s="1"/>
      </tp>
      <tp>
        <v>-213</v>
        <stp/>
        <stp>##V3_BDPV12</stp>
        <stp>LMAHDS 03Z21 Comdty</stp>
        <stp>PX_SETTLE</stp>
        <stp>[Qwack - LMELookBackExample.xlsx]MetalCurves!R42C5</stp>
        <tr r="E42" s="1"/>
      </tp>
      <tp>
        <v>-71</v>
        <stp/>
        <stp>##V3_BDPV12</stp>
        <stp>LMCADS 03Z21 Comdty</stp>
        <stp>PX_SETTLE</stp>
        <stp>[Qwack - LMELookBackExample.xlsx]MetalCurves!R42C8</stp>
        <tr r="H42" s="1"/>
      </tp>
      <tp t="s">
        <v>43231{%f},1324.8{%f};43234{%f},1320.7{%f};43235{%f},1310.05{%f};43236{%f},1291.75{%f};43237{%f},1288.85{%f};43238{%f},1287.2{%f};43241{%f},1285.85{%f};43242{%f},1293.9{%f};43243{%f},1294{%f};43244{%f},1296.35{%f};43245{%f},1303.95{%f};43249{%f},1302.05{%f};43250{%f},1298.6{%f};43251{%f},1303.5{%f};43252{%f},1299.15{%f};43255{%f},1294.65{%f};43256{%f},1292.25{%f};43257{%f},1295.25{%f};43258{%f},1298.3{%f};43259{%f},1299.2{%f};43262{%f},1296.05{%f};43263{%f},1298.3{%f};43264{%f},1294.4{%f};43265{%f},1305.3{%f};43266{%f},1300.1{%f};43269{%f},1281.25{%f};43270{%f},1279{%f};43271{%f},1273.25{%f};43272{%f},1263.7{%f};43273{%f},1269.7{%f};43276{%f},1269.8{%f};43277{%f},1257.15{%f};43278{%f},1256.8{%f};43279{%f},1250.5{%f};43280{%f},1250.55{%f};43283{%f},1249{%f};43284{%f},1245.85{%f};43285{%f},1256.9{%f};43286{%f},1252.5{%f};43287{%f},1254.2{%f};43290{%f},1262.6{%f};43291{%f},1253.7{%f};43292{%f},1250{%f};43293{%f},1244.85{%f};43294{%f},1240.5{%f};43297{%f},1244.9{%f};43298{%f},1243.65{%f};43299{%f},1223.45{%f};43300{%f},1217.4{%f};43301{%f},1224.85{%f};43304{%f},1229.45{%f};43305{%f},1224.3{%f};43306{%f},1230.55{%f};43307{%f},1228.35{%f};43308{%f},1219.15{%f};43311{%f},1222.05{%f};43312{%f},1219.2{%f};43313{%f},1222.75{%f};43314{%f},1217.6{%f};43315{%f},1207.7{%f};43318{%f},1212{%f};43319{%f},1215.4{%f};43320{%f},1212.35{%f};43321{%f},1215.5{%f};43322{%f},1211.65{%f};43325{%f},1204.4{%f};43326{%f},1195.3{%f};43327{%f},1186.7{%f};43328{%f},1179.65{%f};43329{%f},1176.7{%f};43332{%f},1188.75{%f};43333{%f},1194.1{%f};43334{%f},1196.85{%f};43335{%f},1187.3{%f};43336{%f},1189.95{%f};43340{%f},1212.75{%f};43341{%f},1204.3{%f};43342{%f},1202.35{%f};43343{%f},1206.85{%f};43346{%f},1201.7{%f};43347{%f},1195.75{%f};43348{%f},1194.7{%f};43349{%f},1204.3{%f};43350{%f},1200.75{%f};43353{%f},1195.8{%f};43354{%f},1194{%f};43355{%f},1197.8{%f};43356{%f},1206.65{%f};43357{%f},1206.2{%f};43360{%f},1196.8{%f};43361{%f},1199.4{%f};43362{%f},1203{%f};43363{%f},1203{%f};43364{%f},1207.6{%f};43367{%f},1198.75{%f};43368{%f},1199.45{%f};43369{%f},1198.8{%f};43370{%f},1196{%f};43371{%f},1183.5{%f};43374{%f},1185.3{%f};43375{%f},1192.65{%f};43376{%f},1203.5{%f};43377{%f},1199.45{%f};43378{%f},1201.1{%f};43381{%f},1194.8{%f};43382{%f},1187.4{%f};43383{%f},1186.4{%f};43384{%f},1201.1{%f};43385{%f},1218.75{%f};43388{%f},1233{%f};43389{%f},1228.85{%f};43390{%f},1226.75{%f};43391{%f},1224.6{%f};43392{%f},1228.25{%f};43395{%f},1222.9{%f};43396{%f},1235.6{%f};43397{%f},1231.65{%f};43398{%f},1232.15{%f};43399{%f},1236.05{%f};43402{%f},1230.75{%f};43403{%f},1220{%f};43404{%f},1217.7{%f};43405{%f},1223.25{%f};43406{%f},1235.5{%f};43409{%f},1231.6{%f};43410{%f},1234.85{%f};43411{%f},1235.05{%f};43412{%f},1223.45{%f};43413{%f},1219.05{%f};43416{%f},1207.05{%f};43417{%f},1197.55{%f};43418{%f},1201.45{%f};43419{%f},1210.6{%f};43420{%f},1215.8{%f};43423{%f},1223.55{%f};43424{%f},1223.1{%f};43425{%f},1224{%f};43426{%f},1228.25{%f};43427{%f},1222.15{%f};43430{%f},1226.65{%f};43431{%f},1225.05{%f};43432{%f},1213.2{%f};43433{%f},1226.45{%f};43434{%f},1220.45{%f};43437{%f},1231.05{%f};43438{%f},1239.25{%f};43439{%f},1236.15{%f};43440{%f},1236.45{%f};43441{%f},1241.2{%f};43444{%f},1246.8{%f};43445{%f},1248.25{%f};43446{%f},1244.75{%f};43447{%f},1244.45{%f};43448{%f},1239.15{%f};43451{%f},1239.1{%f};43452{%f},1248.8{%f};43453{%f},1248.6{%f};43454{%f},1255{%f};43455{%f},1257.6{%f};43458{%f},1261.25{%f};43461{%f},1271.1{%f};43462{%f},1277.25{%f};43465{%f},1281.65{%f};43467{%f},1287.2{%f};43468{%f},1287.95{%f};43469{%f},1290.35{%f};43472{%f},1291.5{%f};43473{%f},1283.9{%f};43474{%f},1281.3{%f};43475{%f},1292.4{%f};43476{%f},1292.8{%f};43479{%f},1293.7{%f};43480{%f},1289.35{%f};43481{%f},1290.5{%f};43482{%f},1294{%f}##BDH_RS##</v>
        <stp/>
        <stp>##V3_BDHV12</stp>
        <stp>GOLDLNAM Index</stp>
        <stp>PX_LAST</stp>
        <stp>11/05/2018</stp>
        <stp>17/01/2019</stp>
        <stp>[Qwack - LMELookBackExample.xlsx]MetalCurves!R6C43</stp>
        <stp>Array=true</stp>
        <tr r="AQ6" s="1"/>
      </tp>
      <tp>
        <v>-27</v>
        <stp/>
        <stp>##V3_BDPV12</stp>
        <stp>LMCADS 03X19 Comdty</stp>
        <stp>PX_SETTLE</stp>
        <stp>[Qwack - LMELookBackExample.xlsx]MetalCurves!R17C8</stp>
        <tr r="H17" s="1"/>
      </tp>
      <tp>
        <v>-53.5</v>
        <stp/>
        <stp>##V3_BDPV12</stp>
        <stp>LMAHDS 03X19 Comdty</stp>
        <stp>PX_SETTLE</stp>
        <stp>[Qwack - LMELookBackExample.xlsx]MetalCurves!R17C5</stp>
        <tr r="E17" s="1"/>
      </tp>
      <tp>
        <v>3.85</v>
        <stp/>
        <stp>##V3_BDPV12</stp>
        <stp>XAUUSD10R9m Comdty</stp>
        <stp>PX_LAST</stp>
        <stp>[Qwack - LMELookBackExample.xlsx]MetalCurves!R69C9</stp>
        <tr r="I69" s="1"/>
      </tp>
      <tp>
        <v>-123.5</v>
        <stp/>
        <stp>##V3_BDPV12</stp>
        <stp>LMAHDS 03V20 Comdty</stp>
        <stp>PX_SETTLE</stp>
        <stp>[Qwack - LMELookBackExample.xlsx]MetalCurves!R28C5</stp>
        <tr r="E28" s="1"/>
      </tp>
      <tp>
        <v>-291</v>
        <stp/>
        <stp>##V3_BDPV12</stp>
        <stp>LMAHDS 03Z22 Comdty</stp>
        <stp>PX_SETTLE</stp>
        <stp>[Qwack - LMELookBackExample.xlsx]MetalCurves!R54C5</stp>
        <tr r="E54" s="1"/>
      </tp>
      <tp>
        <v>-48</v>
        <stp/>
        <stp>##V3_BDPV12</stp>
        <stp>LMCADS 03V20 Comdty</stp>
        <stp>PX_SETTLE</stp>
        <stp>[Qwack - LMELookBackExample.xlsx]MetalCurves!R28C8</stp>
        <tr r="H28" s="1"/>
      </tp>
      <tp>
        <v>-88</v>
        <stp/>
        <stp>##V3_BDPV12</stp>
        <stp>LMCADS 03Z22 Comdty</stp>
        <stp>PX_SETTLE</stp>
        <stp>[Qwack - LMELookBackExample.xlsx]MetalCurves!R54C8</stp>
        <tr r="H54" s="1"/>
      </tp>
      <tp>
        <v>3.5750000000000002</v>
        <stp/>
        <stp>##V3_BDPV12</stp>
        <stp>XAUUSD10R6m Comdty</stp>
        <stp>PX_LAST</stp>
        <stp>[Qwack - LMELookBackExample.xlsx]MetalCurves!R68C9</stp>
        <tr r="I68" s="1"/>
      </tp>
      <tp>
        <v>1.9</v>
        <stp/>
        <stp>##V3_BDPV12</stp>
        <stp>XAUUSD25R6m Comdty</stp>
        <stp>PX_LAST</stp>
        <stp>[Qwack - LMELookBackExample.xlsx]MetalCurves!R68C8</stp>
        <tr r="H68" s="1"/>
      </tp>
      <tp>
        <v>-195</v>
        <stp/>
        <stp>##V3_BDPV12</stp>
        <stp>LMAHDS 03U21 Comdty</stp>
        <stp>PX_SETTLE</stp>
        <stp>[Qwack - LMELookBackExample.xlsx]MetalCurves!R39C5</stp>
        <tr r="E39" s="1"/>
      </tp>
      <tp>
        <v>-66.5</v>
        <stp/>
        <stp>##V3_BDPV12</stp>
        <stp>LMCADS 03U21 Comdty</stp>
        <stp>PX_SETTLE</stp>
        <stp>[Qwack - LMELookBackExample.xlsx]MetalCurves!R39C8</stp>
        <tr r="H39" s="1"/>
      </tp>
      <tp>
        <v>2.0074999999999998</v>
        <stp/>
        <stp>##V3_BDPV12</stp>
        <stp>XAUUSD25R9m Comdty</stp>
        <stp>PX_LAST</stp>
        <stp>[Qwack - LMELookBackExample.xlsx]MetalCurves!R69C8</stp>
        <tr r="H69" s="1"/>
      </tp>
      <tp>
        <v>2580</v>
        <stp/>
        <stp>##V3_BDPV12</stp>
        <stp>LMZSDS03 Comdty</stp>
        <stp>PX_LAST</stp>
        <stp>[Qwack - LMELookBackExample.xlsx]MetalCurves!R3C19</stp>
        <tr r="S3" s="1"/>
      </tp>
      <tp>
        <v>1.5625</v>
        <stp/>
        <stp>##V3_BDPV12</stp>
        <stp>XAUUSD25R2m Comdty</stp>
        <stp>PX_LAST</stp>
        <stp>[Qwack - LMELookBackExample.xlsx]MetalCurves!R66C8</stp>
        <tr r="H66" s="1"/>
      </tp>
      <tp>
        <v>2.6150000000000002</v>
        <stp/>
        <stp>##V3_BDPV12</stp>
        <stp>XAUUSD10R1m Comdty</stp>
        <stp>PX_LAST</stp>
        <stp>[Qwack - LMELookBackExample.xlsx]MetalCurves!R65C9</stp>
        <tr r="I65" s="1"/>
      </tp>
      <tp>
        <v>-30</v>
        <stp/>
        <stp>##V3_BDPV12</stp>
        <stp>LMCADS 03Z19 Comdty</stp>
        <stp>PX_SETTLE</stp>
        <stp>[Qwack - LMELookBackExample.xlsx]MetalCurves!R18C8</stp>
        <tr r="H18" s="1"/>
      </tp>
      <tp>
        <v>-115</v>
        <stp/>
        <stp>##V3_BDPV12</stp>
        <stp>LMAHDS 03U20 Comdty</stp>
        <stp>PX_SETTLE</stp>
        <stp>[Qwack - LMELookBackExample.xlsx]MetalCurves!R27C5</stp>
        <tr r="E27" s="1"/>
      </tp>
      <tp>
        <v>-58.5</v>
        <stp/>
        <stp>##V3_BDPV12</stp>
        <stp>LMAHDS 03Z19 Comdty</stp>
        <stp>PX_SETTLE</stp>
        <stp>[Qwack - LMELookBackExample.xlsx]MetalCurves!R18C5</stp>
        <tr r="E18" s="1"/>
      </tp>
      <tp>
        <v>-46.5</v>
        <stp/>
        <stp>##V3_BDPV12</stp>
        <stp>LMCADS 03U20 Comdty</stp>
        <stp>PX_SETTLE</stp>
        <stp>[Qwack - LMELookBackExample.xlsx]MetalCurves!R27C8</stp>
        <tr r="H27" s="1"/>
      </tp>
      <tp>
        <v>1.6475</v>
        <stp/>
        <stp>##V3_BDPV12</stp>
        <stp>XAUUSD25R3m Comdty</stp>
        <stp>PX_LAST</stp>
        <stp>[Qwack - LMELookBackExample.xlsx]MetalCurves!R67C8</stp>
        <tr r="H67" s="1"/>
      </tp>
      <tp>
        <v>28.5</v>
        <stp/>
        <stp>##V3_BDPV12</stp>
        <stp>XPDUSDV9m Comdty</stp>
        <stp>PX_LAST</stp>
        <stp>[Qwack - LMELookBackExample.xlsx]MetalCurves!R69C15</stp>
        <tr r="O69" s="1"/>
      </tp>
      <tp>
        <v>31</v>
        <stp/>
        <stp>##V3_BDPV12</stp>
        <stp>XPDUSDV1m Comdty</stp>
        <stp>PX_LAST</stp>
        <stp>[Qwack - LMELookBackExample.xlsx]MetalCurves!R65C15</stp>
        <tr r="O65" s="1"/>
      </tp>
      <tp>
        <v>33.549999999999997</v>
        <stp/>
        <stp>##V3_BDPV12</stp>
        <stp>XPDUSDV1w Comdty</stp>
        <stp>PX_LAST</stp>
        <stp>[Qwack - LMELookBackExample.xlsx]MetalCurves!R64C15</stp>
        <tr r="O64" s="1"/>
      </tp>
      <tp>
        <v>28</v>
        <stp/>
        <stp>##V3_BDPV12</stp>
        <stp>XPDUSDV1y Comdty</stp>
        <stp>PX_LAST</stp>
        <stp>[Qwack - LMELookBackExample.xlsx]MetalCurves!R70C15</stp>
        <tr r="O70" s="1"/>
      </tp>
      <tp>
        <v>30.15</v>
        <stp/>
        <stp>##V3_BDPV12</stp>
        <stp>XPDUSDV3m Comdty</stp>
        <stp>PX_LAST</stp>
        <stp>[Qwack - LMELookBackExample.xlsx]MetalCurves!R67C15</stp>
        <tr r="O67" s="1"/>
      </tp>
      <tp>
        <v>29</v>
        <stp/>
        <stp>##V3_BDPV12</stp>
        <stp>XPDUSDV2y Comdty</stp>
        <stp>PX_LAST</stp>
        <stp>[Qwack - LMELookBackExample.xlsx]MetalCurves!R72C15</stp>
        <tr r="O72" s="1"/>
      </tp>
      <tp>
        <v>30.35</v>
        <stp/>
        <stp>##V3_BDPV12</stp>
        <stp>XPDUSDV2m Comdty</stp>
        <stp>PX_LAST</stp>
        <stp>[Qwack - LMELookBackExample.xlsx]MetalCurves!R66C15</stp>
        <tr r="O66" s="1"/>
      </tp>
      <tp>
        <v>29</v>
        <stp/>
        <stp>##V3_BDPV12</stp>
        <stp>XPDUSDV3y Comdty</stp>
        <stp>PX_LAST</stp>
        <stp>[Qwack - LMELookBackExample.xlsx]MetalCurves!R73C15</stp>
        <tr r="O73" s="1"/>
      </tp>
      <tp>
        <v>29</v>
        <stp/>
        <stp>##V3_BDPV12</stp>
        <stp>XPDUSDV4y Comdty</stp>
        <stp>PX_LAST</stp>
        <stp>[Qwack - LMELookBackExample.xlsx]MetalCurves!R74C15</stp>
        <tr r="O74" s="1"/>
      </tp>
      <tp>
        <v>29</v>
        <stp/>
        <stp>##V3_BDPV12</stp>
        <stp>XPDUSDV5y Comdty</stp>
        <stp>PX_LAST</stp>
        <stp>[Qwack - LMELookBackExample.xlsx]MetalCurves!R75C15</stp>
        <tr r="O75" s="1"/>
      </tp>
      <tp>
        <v>29.2</v>
        <stp/>
        <stp>##V3_BDPV12</stp>
        <stp>XPDUSDV6m Comdty</stp>
        <stp>PX_LAST</stp>
        <stp>[Qwack - LMELookBackExample.xlsx]MetalCurves!R68C15</stp>
        <tr r="O68" s="1"/>
      </tp>
      <tp>
        <v>-130.5</v>
        <stp/>
        <stp>##V3_BDPV12</stp>
        <stp>LMAHDS 03X20 Comdty</stp>
        <stp>PX_SETTLE</stp>
        <stp>[Qwack - LMELookBackExample.xlsx]MetalCurves!R29C5</stp>
        <tr r="E29" s="1"/>
      </tp>
      <tp>
        <v>-266.25</v>
        <stp/>
        <stp>##V3_BDPV12</stp>
        <stp>LMAHDS 03Q22 Comdty</stp>
        <stp>PX_SETTLE</stp>
        <stp>[Qwack - LMELookBackExample.xlsx]MetalCurves!R50C5</stp>
        <tr r="E50" s="1"/>
      </tp>
      <tp>
        <v>-49.5</v>
        <stp/>
        <stp>##V3_BDPV12</stp>
        <stp>LMCADS 03X20 Comdty</stp>
        <stp>PX_SETTLE</stp>
        <stp>[Qwack - LMELookBackExample.xlsx]MetalCurves!R29C8</stp>
        <tr r="H29" s="1"/>
      </tp>
      <tp>
        <v>-83</v>
        <stp/>
        <stp>##V3_BDPV12</stp>
        <stp>LMCADS 03Q22 Comdty</stp>
        <stp>PX_SETTLE</stp>
        <stp>[Qwack - LMELookBackExample.xlsx]MetalCurves!R50C8</stp>
        <tr r="H50" s="1"/>
      </tp>
      <tp>
        <v>3.0550000000000002</v>
        <stp/>
        <stp>##V3_BDPV12</stp>
        <stp>XAUUSD10R3m Comdty</stp>
        <stp>PX_LAST</stp>
        <stp>[Qwack - LMELookBackExample.xlsx]MetalCurves!R67C9</stp>
        <tr r="I67" s="1"/>
      </tp>
      <tp>
        <v>2.1</v>
        <stp/>
        <stp>##V3_BDPV12</stp>
        <stp>XAUUSD25R18m Comdty</stp>
        <stp>PX_LAST</stp>
        <stp>[Qwack - LMELookBackExample.xlsx]MetalCurves!R71C8</stp>
        <tr r="H71" s="1"/>
      </tp>
      <tp>
        <v>-20.5</v>
        <stp/>
        <stp>##V3_BDPV12</stp>
        <stp>LMCADS 03U19 Comdty</stp>
        <stp>PX_SETTLE</stp>
        <stp>[Qwack - LMELookBackExample.xlsx]MetalCurves!R15C8</stp>
        <tr r="H15" s="1"/>
      </tp>
      <tp>
        <v>-23.5</v>
        <stp/>
        <stp>##V3_BDPV12</stp>
        <stp>LMCADS 03V19 Comdty</stp>
        <stp>PX_SETTLE</stp>
        <stp>[Qwack - LMELookBackExample.xlsx]MetalCurves!R16C8</stp>
        <tr r="H16" s="1"/>
      </tp>
      <tp>
        <v>-39.5</v>
        <stp/>
        <stp>##V3_BDPV12</stp>
        <stp>LMAHDS 03U19 Comdty</stp>
        <stp>PX_SETTLE</stp>
        <stp>[Qwack - LMELookBackExample.xlsx]MetalCurves!R15C5</stp>
        <tr r="E15" s="1"/>
      </tp>
      <tp>
        <v>-45.5</v>
        <stp/>
        <stp>##V3_BDPV12</stp>
        <stp>LMAHDS 03V19 Comdty</stp>
        <stp>PX_SETTLE</stp>
        <stp>[Qwack - LMELookBackExample.xlsx]MetalCurves!R16C5</stp>
        <tr r="E16" s="1"/>
      </tp>
      <tp>
        <v>1.4624999999999999</v>
        <stp/>
        <stp>##V3_BDPV12</stp>
        <stp>XAUUSD25R1m Comdty</stp>
        <stp>PX_LAST</stp>
        <stp>[Qwack - LMELookBackExample.xlsx]MetalCurves!R65C8</stp>
        <tr r="H65" s="1"/>
      </tp>
      <tp>
        <v>2.84</v>
        <stp/>
        <stp>##V3_BDPV12</stp>
        <stp>XAUUSD10R2m Comdty</stp>
        <stp>PX_LAST</stp>
        <stp>[Qwack - LMELookBackExample.xlsx]MetalCurves!R66C9</stp>
        <tr r="I66" s="1"/>
      </tp>
      <tp>
        <v>-109.5</v>
        <stp/>
        <stp>##V3_BDPV12</stp>
        <stp>LMAHDS 03Q20 Comdty</stp>
        <stp>PX_SETTLE</stp>
        <stp>[Qwack - LMELookBackExample.xlsx]MetalCurves!R26C5</stp>
        <tr r="E26" s="1"/>
      </tp>
      <tp>
        <v>-45</v>
        <stp/>
        <stp>##V3_BDPV12</stp>
        <stp>LMCADS 03Q20 Comdty</stp>
        <stp>PX_SETTLE</stp>
        <stp>[Qwack - LMELookBackExample.xlsx]MetalCurves!R26C8</stp>
        <tr r="H26" s="1"/>
      </tp>
      <tp>
        <v>-202.5</v>
        <stp/>
        <stp>##V3_BDPV12</stp>
        <stp>LMAHDS 03V21 Comdty</stp>
        <stp>PX_SETTLE</stp>
        <stp>[Qwack - LMELookBackExample.xlsx]MetalCurves!R40C5</stp>
        <tr r="E40" s="1"/>
      </tp>
      <tp>
        <v>-68</v>
        <stp/>
        <stp>##V3_BDPV12</stp>
        <stp>LMCADS 03V21 Comdty</stp>
        <stp>PX_SETTLE</stp>
        <stp>[Qwack - LMELookBackExample.xlsx]MetalCurves!R40C8</stp>
        <tr r="H40" s="1"/>
      </tp>
      <tp>
        <v>4.16</v>
        <stp/>
        <stp>##V3_BDPV12</stp>
        <stp>XAUUSD10R18m Comdty</stp>
        <stp>PX_LAST</stp>
        <stp>[Qwack - LMELookBackExample.xlsx]MetalCurves!R71C9</stp>
        <tr r="I71" s="1"/>
      </tp>
      <tp>
        <v>-17</v>
        <stp/>
        <stp>##V3_BDPV12</stp>
        <stp>LMCADS 03Q19 Comdty</stp>
        <stp>PX_SETTLE</stp>
        <stp>[Qwack - LMELookBackExample.xlsx]MetalCurves!R14C8</stp>
        <tr r="H14" s="1"/>
      </tp>
      <tp>
        <v>-31</v>
        <stp/>
        <stp>##V3_BDPV12</stp>
        <stp>LMAHDS 03Q19 Comdty</stp>
        <stp>PX_SETTLE</stp>
        <stp>[Qwack - LMELookBackExample.xlsx]MetalCurves!R14C5</stp>
        <tr r="E14" s="1"/>
      </tp>
      <tp>
        <v>-272.75</v>
        <stp/>
        <stp>##V3_BDPV12</stp>
        <stp>LMAHDS 03U22 Comdty</stp>
        <stp>PX_SETTLE</stp>
        <stp>[Qwack - LMELookBackExample.xlsx]MetalCurves!R51C5</stp>
        <tr r="E51" s="1"/>
      </tp>
      <tp>
        <v>-278.75</v>
        <stp/>
        <stp>##V3_BDPV12</stp>
        <stp>LMAHDS 03V22 Comdty</stp>
        <stp>PX_SETTLE</stp>
        <stp>[Qwack - LMELookBackExample.xlsx]MetalCurves!R52C5</stp>
        <tr r="E52" s="1"/>
      </tp>
      <tp>
        <v>-84.5</v>
        <stp/>
        <stp>##V3_BDPV12</stp>
        <stp>LMCADS 03U22 Comdty</stp>
        <stp>PX_SETTLE</stp>
        <stp>[Qwack - LMELookBackExample.xlsx]MetalCurves!R51C8</stp>
        <tr r="H51" s="1"/>
      </tp>
      <tp>
        <v>-86</v>
        <stp/>
        <stp>##V3_BDPV12</stp>
        <stp>LMCADS 03V22 Comdty</stp>
        <stp>PX_SETTLE</stp>
        <stp>[Qwack - LMELookBackExample.xlsx]MetalCurves!R52C8</stp>
        <tr r="H52" s="1"/>
      </tp>
      <tp>
        <v>-102.25</v>
        <stp/>
        <stp>##V3_BDPV12</stp>
        <stp>LMAHDS 03N20 Comdty</stp>
        <stp>PX_SETTLE</stp>
        <stp>[Qwack - LMELookBackExample.xlsx]MetalCurves!R25C5</stp>
        <tr r="E25" s="1"/>
      </tp>
      <tp>
        <v>-154.75</v>
        <stp/>
        <stp>##V3_BDPV12</stp>
        <stp>LMAHDS 03H21 Comdty</stp>
        <stp>PX_SETTLE</stp>
        <stp>[Qwack - LMELookBackExample.xlsx]MetalCurves!R33C5</stp>
        <tr r="E33" s="1"/>
      </tp>
      <tp>
        <v>-175</v>
        <stp/>
        <stp>##V3_BDPV12</stp>
        <stp>LMAHDS 03M21 Comdty</stp>
        <stp>PX_SETTLE</stp>
        <stp>[Qwack - LMELookBackExample.xlsx]MetalCurves!R36C5</stp>
        <tr r="E36" s="1"/>
      </tp>
      <tp>
        <v>-43.5</v>
        <stp/>
        <stp>##V3_BDPV12</stp>
        <stp>LMCADS 03N20 Comdty</stp>
        <stp>PX_SETTLE</stp>
        <stp>[Qwack - LMELookBackExample.xlsx]MetalCurves!R25C8</stp>
        <tr r="H25" s="1"/>
      </tp>
      <tp>
        <v>-57</v>
        <stp/>
        <stp>##V3_BDPV12</stp>
        <stp>LMCADS 03H21 Comdty</stp>
        <stp>PX_SETTLE</stp>
        <stp>[Qwack - LMELookBackExample.xlsx]MetalCurves!R33C8</stp>
        <tr r="H33" s="1"/>
      </tp>
      <tp>
        <v>-62</v>
        <stp/>
        <stp>##V3_BDPV12</stp>
        <stp>LMCADS 03M21 Comdty</stp>
        <stp>PX_SETTLE</stp>
        <stp>[Qwack - LMELookBackExample.xlsx]MetalCurves!R36C8</stp>
        <tr r="H36" s="1"/>
      </tp>
      <tp>
        <v>1.1775</v>
        <stp/>
        <stp>##V3_BDPV12</stp>
        <stp>XAUUSD25R1w Comdty</stp>
        <stp>PX_LAST</stp>
        <stp>[Qwack - LMELookBackExample.xlsx]MetalCurves!R64C8</stp>
        <tr r="H64" s="1"/>
      </tp>
      <tp>
        <v>4.72</v>
        <stp/>
        <stp>##V3_BDPV12</stp>
        <stp>USDZAR10R2m Curncy</stp>
        <stp>PX_LAST</stp>
        <stp>[Qwack - LMELookBackExample.xlsx]FundingFx!R21C14</stp>
        <tr r="N21" s="2"/>
      </tp>
      <tp>
        <v>1.28</v>
        <stp/>
        <stp>##V3_BDPV12</stp>
        <stp>USDZAR10B2m Curncy</stp>
        <stp>PX_LAST</stp>
        <stp>[Qwack - LMELookBackExample.xlsx]FundingFx!R21C16</stp>
        <tr r="P21" s="2"/>
      </tp>
      <tp>
        <v>0.5</v>
        <stp/>
        <stp>##V3_BDPV12</stp>
        <stp>USDZAR25B2m Curncy</stp>
        <stp>PX_LAST</stp>
        <stp>[Qwack - LMELookBackExample.xlsx]FundingFx!R21C15</stp>
        <tr r="O21" s="2"/>
      </tp>
      <tp>
        <v>2.585</v>
        <stp/>
        <stp>##V3_BDPV12</stp>
        <stp>USDZAR25R2m Curncy</stp>
        <stp>PX_LAST</stp>
        <stp>[Qwack - LMELookBackExample.xlsx]FundingFx!R21C13</stp>
        <tr r="M21" s="2"/>
      </tp>
      <tp>
        <v>9.0425000000000004</v>
        <stp/>
        <stp>##V3_BDPV12</stp>
        <stp>USDZAR10R2y Curncy</stp>
        <stp>PX_LAST</stp>
        <stp>[Qwack - LMELookBackExample.xlsx]FundingFx!R27C14</stp>
        <tr r="N27" s="2"/>
      </tp>
      <tp>
        <v>1.9624999999999999</v>
        <stp/>
        <stp>##V3_BDPV12</stp>
        <stp>USDZAR10B2y Curncy</stp>
        <stp>PX_LAST</stp>
        <stp>[Qwack - LMELookBackExample.xlsx]FundingFx!R27C16</stp>
        <tr r="P27" s="2"/>
      </tp>
      <tp>
        <v>0.89500000000000002</v>
        <stp/>
        <stp>##V3_BDPV12</stp>
        <stp>USDZAR25B2y Curncy</stp>
        <stp>PX_LAST</stp>
        <stp>[Qwack - LMELookBackExample.xlsx]FundingFx!R27C15</stp>
        <tr r="O27" s="2"/>
      </tp>
      <tp>
        <v>4.8049999999999997</v>
        <stp/>
        <stp>##V3_BDPV12</stp>
        <stp>USDZAR25R2y Curncy</stp>
        <stp>PX_LAST</stp>
        <stp>[Qwack - LMELookBackExample.xlsx]FundingFx!R27C13</stp>
        <tr r="M27" s="2"/>
      </tp>
      <tp>
        <v>20.535</v>
        <stp/>
        <stp>##V3_BDPV12</stp>
        <stp>USDZARV5y Curncy</stp>
        <stp>PX_LAST</stp>
        <stp>[Qwack - LMELookBackExample.xlsx]FundingFx!R30C12</stp>
        <tr r="L30" s="2"/>
      </tp>
      <tp>
        <v>-3.5</v>
        <stp/>
        <stp>##V3_BDPV12</stp>
        <stp>LMCADS 03K19 Comdty</stp>
        <stp>PX_SETTLE</stp>
        <stp>[Qwack - LMELookBackExample.xlsx]MetalCurves!R11C8</stp>
        <tr r="H11" s="1"/>
      </tp>
      <tp>
        <v>-8.5</v>
        <stp/>
        <stp>##V3_BDPV12</stp>
        <stp>LMAHDS 03K19 Comdty</stp>
        <stp>PX_SETTLE</stp>
        <stp>[Qwack - LMELookBackExample.xlsx]MetalCurves!R11C5</stp>
        <tr r="E11" s="1"/>
      </tp>
      <tp>
        <v>-44.5</v>
        <stp/>
        <stp>##V3_BDPV12</stp>
        <stp>LMNIDS G1903 Comdty</stp>
        <stp>PX_SETTLE</stp>
        <stp>[Qwack - LMELookBackExample.xlsx]MetalCurves!R7C14</stp>
        <tr r="N7" s="1"/>
      </tp>
      <tp t="s">
        <v>#N/A N/A</v>
        <stp/>
        <stp>##V3_BDPV12</stp>
        <stp>LMNIDS J1903 Comdty</stp>
        <stp>PX_SETTLE</stp>
        <stp>[Qwack - LMELookBackExample.xlsx]MetalCurves!R9C14</stp>
        <tr r="N9" s="1"/>
      </tp>
      <tp>
        <v>-22</v>
        <stp/>
        <stp>##V3_BDPV12</stp>
        <stp>LMNIDS H1903 Comdty</stp>
        <stp>PX_SETTLE</stp>
        <stp>[Qwack - LMELookBackExample.xlsx]MetalCurves!R8C14</stp>
        <tr r="N8" s="1"/>
      </tp>
      <tp>
        <v>5.2549999999999999</v>
        <stp/>
        <stp>##V3_BDPV12</stp>
        <stp>USDZAR10R3m Curncy</stp>
        <stp>PX_LAST</stp>
        <stp>[Qwack - LMELookBackExample.xlsx]FundingFx!R22C14</stp>
        <tr r="N22" s="2"/>
      </tp>
      <tp>
        <v>1.355</v>
        <stp/>
        <stp>##V3_BDPV12</stp>
        <stp>USDZAR10B3m Curncy</stp>
        <stp>PX_LAST</stp>
        <stp>[Qwack - LMELookBackExample.xlsx]FundingFx!R22C16</stp>
        <tr r="P22" s="2"/>
      </tp>
      <tp>
        <v>0.53500000000000003</v>
        <stp/>
        <stp>##V3_BDPV12</stp>
        <stp>USDZAR25B3m Curncy</stp>
        <stp>PX_LAST</stp>
        <stp>[Qwack - LMELookBackExample.xlsx]FundingFx!R22C15</stp>
        <tr r="O22" s="2"/>
      </tp>
      <tp>
        <v>2.83</v>
        <stp/>
        <stp>##V3_BDPV12</stp>
        <stp>USDZAR25R3m Curncy</stp>
        <stp>PX_LAST</stp>
        <stp>[Qwack - LMELookBackExample.xlsx]FundingFx!R22C13</stp>
        <tr r="M22" s="2"/>
      </tp>
      <tp>
        <v>8.5</v>
        <stp/>
        <stp>##V3_BDPV12</stp>
        <stp>LMZSDS H1903 Comdty</stp>
        <stp>PX_SETTLE</stp>
        <stp>[Qwack - LMELookBackExample.xlsx]MetalCurves!R8C11</stp>
        <tr r="K8" s="1"/>
      </tp>
      <tp t="s">
        <v>#N/A N/A</v>
        <stp/>
        <stp>##V3_BDPV12</stp>
        <stp>LMZSDS J1903 Comdty</stp>
        <stp>PX_SETTLE</stp>
        <stp>[Qwack - LMELookBackExample.xlsx]MetalCurves!R9C11</stp>
        <tr r="K9" s="1"/>
      </tp>
      <tp>
        <v>17.25</v>
        <stp/>
        <stp>##V3_BDPV12</stp>
        <stp>LMZSDS G1903 Comdty</stp>
        <stp>PX_SETTLE</stp>
        <stp>[Qwack - LMELookBackExample.xlsx]MetalCurves!R7C11</stp>
        <tr r="K7" s="1"/>
      </tp>
      <tp>
        <v>10.262499999999999</v>
        <stp/>
        <stp>##V3_BDPV12</stp>
        <stp>USDZAR10R3y Curncy</stp>
        <stp>PX_LAST</stp>
        <stp>[Qwack - LMELookBackExample.xlsx]FundingFx!R28C14</stp>
        <tr r="N28" s="2"/>
      </tp>
      <tp>
        <v>2.1775000000000002</v>
        <stp/>
        <stp>##V3_BDPV12</stp>
        <stp>USDZAR10B3y Curncy</stp>
        <stp>PX_LAST</stp>
        <stp>[Qwack - LMELookBackExample.xlsx]FundingFx!R28C16</stp>
        <tr r="P28" s="2"/>
      </tp>
      <tp>
        <v>0.95499999999999996</v>
        <stp/>
        <stp>##V3_BDPV12</stp>
        <stp>USDZAR25B3y Curncy</stp>
        <stp>PX_LAST</stp>
        <stp>[Qwack - LMELookBackExample.xlsx]FundingFx!R28C15</stp>
        <tr r="O28" s="2"/>
      </tp>
      <tp>
        <v>5.4974999999999996</v>
        <stp/>
        <stp>##V3_BDPV12</stp>
        <stp>USDZAR25R3y Curncy</stp>
        <stp>PX_LAST</stp>
        <stp>[Qwack - LMELookBackExample.xlsx]FundingFx!R28C13</stp>
        <tr r="M28" s="2"/>
      </tp>
      <tp>
        <v>19.452500000000001</v>
        <stp/>
        <stp>##V3_BDPV12</stp>
        <stp>USDZARV4y Curncy</stp>
        <stp>PX_LAST</stp>
        <stp>[Qwack - LMELookBackExample.xlsx]FundingFx!R29C12</stp>
        <tr r="L29" s="2"/>
      </tp>
      <tp>
        <v>11720</v>
        <stp/>
        <stp>##V3_BDPV12</stp>
        <stp>LMNIDS03 Comdty</stp>
        <stp>PX_LAST</stp>
        <stp>[Qwack - LMELookBackExample.xlsx]MetalCurves!R3C20</stp>
        <tr r="T3" s="1"/>
      </tp>
      <tp>
        <v>-77.5</v>
        <stp/>
        <stp>##V3_BDPV12</stp>
        <stp>LMAHDS 03H20 Comdty</stp>
        <stp>PX_SETTLE</stp>
        <stp>[Qwack - LMELookBackExample.xlsx]MetalCurves!R21C5</stp>
        <tr r="E21" s="1"/>
      </tp>
      <tp>
        <v>-96.75</v>
        <stp/>
        <stp>##V3_BDPV12</stp>
        <stp>LMAHDS 03M20 Comdty</stp>
        <stp>PX_SETTLE</stp>
        <stp>[Qwack - LMELookBackExample.xlsx]MetalCurves!R24C5</stp>
        <tr r="E24" s="1"/>
      </tp>
      <tp>
        <v>-182.75</v>
        <stp/>
        <stp>##V3_BDPV12</stp>
        <stp>LMAHDS 03N21 Comdty</stp>
        <stp>PX_SETTLE</stp>
        <stp>[Qwack - LMELookBackExample.xlsx]MetalCurves!R37C5</stp>
        <tr r="E37" s="1"/>
      </tp>
      <tp>
        <v>-36</v>
        <stp/>
        <stp>##V3_BDPV12</stp>
        <stp>LMCADS 03H20 Comdty</stp>
        <stp>PX_SETTLE</stp>
        <stp>[Qwack - LMELookBackExample.xlsx]MetalCurves!R21C8</stp>
        <tr r="H21" s="1"/>
      </tp>
      <tp>
        <v>-42</v>
        <stp/>
        <stp>##V3_BDPV12</stp>
        <stp>LMCADS 03M20 Comdty</stp>
        <stp>PX_SETTLE</stp>
        <stp>[Qwack - LMELookBackExample.xlsx]MetalCurves!R24C8</stp>
        <tr r="H24" s="1"/>
      </tp>
      <tp>
        <v>-63.5</v>
        <stp/>
        <stp>##V3_BDPV12</stp>
        <stp>LMCADS 03N21 Comdty</stp>
        <stp>PX_SETTLE</stp>
        <stp>[Qwack - LMELookBackExample.xlsx]MetalCurves!R37C8</stp>
        <tr r="H37" s="1"/>
      </tp>
      <tp>
        <v>1873</v>
        <stp/>
        <stp>##V3_BDPV12</stp>
        <stp>LMAHDS03 Comdty</stp>
        <stp>PX_LAST</stp>
        <stp>[Qwack - LMELookBackExample.xlsx]MetalCurves!R3C17</stp>
        <tr r="Q3" s="1"/>
      </tp>
      <tp>
        <v>-83.5</v>
        <stp/>
        <stp>##V3_BDPV12</stp>
        <stp>LMAHDS 03J20 Comdty</stp>
        <stp>PX_SETTLE</stp>
        <stp>[Qwack - LMELookBackExample.xlsx]MetalCurves!R22C5</stp>
        <tr r="E22" s="1"/>
      </tp>
      <tp>
        <v>-91</v>
        <stp/>
        <stp>##V3_BDPV12</stp>
        <stp>LMAHDS 03K20 Comdty</stp>
        <stp>PX_SETTLE</stp>
        <stp>[Qwack - LMELookBackExample.xlsx]MetalCurves!R23C5</stp>
        <tr r="E23" s="1"/>
      </tp>
      <tp>
        <v>-38</v>
        <stp/>
        <stp>##V3_BDPV12</stp>
        <stp>LMCADS 03J20 Comdty</stp>
        <stp>PX_SETTLE</stp>
        <stp>[Qwack - LMELookBackExample.xlsx]MetalCurves!R22C8</stp>
        <tr r="H22" s="1"/>
      </tp>
      <tp>
        <v>-40</v>
        <stp/>
        <stp>##V3_BDPV12</stp>
        <stp>LMCADS 03K20 Comdty</stp>
        <stp>PX_SETTLE</stp>
        <stp>[Qwack - LMELookBackExample.xlsx]MetalCurves!R23C8</stp>
        <tr r="H23" s="1"/>
      </tp>
      <tp>
        <v>2.1150000000000002</v>
        <stp/>
        <stp>##V3_BDPV12</stp>
        <stp>XAUUSD10R1w Comdty</stp>
        <stp>PX_LAST</stp>
        <stp>[Qwack - LMELookBackExample.xlsx]MetalCurves!R64C9</stp>
        <tr r="I64" s="1"/>
      </tp>
      <tp>
        <v>4.05</v>
        <stp/>
        <stp>##V3_BDPV12</stp>
        <stp>USDZAR10R1m Curncy</stp>
        <stp>PX_LAST</stp>
        <stp>[Qwack - LMELookBackExample.xlsx]FundingFx!R20C14</stp>
        <tr r="N20" s="2"/>
      </tp>
      <tp>
        <v>1.18</v>
        <stp/>
        <stp>##V3_BDPV12</stp>
        <stp>USDZAR10B1m Curncy</stp>
        <stp>PX_LAST</stp>
        <stp>[Qwack - LMELookBackExample.xlsx]FundingFx!R20C16</stp>
        <tr r="P20" s="2"/>
      </tp>
      <tp>
        <v>0.45250000000000001</v>
        <stp/>
        <stp>##V3_BDPV12</stp>
        <stp>USDZAR25B1m Curncy</stp>
        <stp>PX_LAST</stp>
        <stp>[Qwack - LMELookBackExample.xlsx]FundingFx!R20C15</stp>
        <tr r="O20" s="2"/>
      </tp>
      <tp>
        <v>2.3025000000000002</v>
        <stp/>
        <stp>##V3_BDPV12</stp>
        <stp>USDZAR25R1m Curncy</stp>
        <stp>PX_LAST</stp>
        <stp>[Qwack - LMELookBackExample.xlsx]FundingFx!R20C13</stp>
        <tr r="M20" s="2"/>
      </tp>
      <tp>
        <v>0.3175</v>
        <stp/>
        <stp>##V3_BDPV12</stp>
        <stp>USDZAR25B1w Curncy</stp>
        <stp>PX_LAST</stp>
        <stp>[Qwack - LMELookBackExample.xlsx]FundingFx!R19C15</stp>
        <tr r="O19" s="2"/>
      </tp>
      <tp>
        <v>1.6924999999999999</v>
        <stp/>
        <stp>##V3_BDPV12</stp>
        <stp>USDZAR25R1w Curncy</stp>
        <stp>PX_LAST</stp>
        <stp>[Qwack - LMELookBackExample.xlsx]FundingFx!R19C13</stp>
        <tr r="M19" s="2"/>
      </tp>
      <tp>
        <v>0.84499999999999997</v>
        <stp/>
        <stp>##V3_BDPV12</stp>
        <stp>USDZAR10B1w Curncy</stp>
        <stp>PX_LAST</stp>
        <stp>[Qwack - LMELookBackExample.xlsx]FundingFx!R19C16</stp>
        <tr r="P19" s="2"/>
      </tp>
      <tp>
        <v>2.8875000000000002</v>
        <stp/>
        <stp>##V3_BDPV12</stp>
        <stp>USDZAR10R1w Curncy</stp>
        <stp>PX_LAST</stp>
        <stp>[Qwack - LMELookBackExample.xlsx]FundingFx!R19C14</stp>
        <tr r="N19" s="2"/>
      </tp>
      <tp>
        <v>7.8624999999999998</v>
        <stp/>
        <stp>##V3_BDPV12</stp>
        <stp>USDZAR10R1y Curncy</stp>
        <stp>PX_LAST</stp>
        <stp>[Qwack - LMELookBackExample.xlsx]FundingFx!R25C14</stp>
        <tr r="N25" s="2"/>
      </tp>
      <tp>
        <v>1.63</v>
        <stp/>
        <stp>##V3_BDPV12</stp>
        <stp>USDZAR10B1y Curncy</stp>
        <stp>PX_LAST</stp>
        <stp>[Qwack - LMELookBackExample.xlsx]FundingFx!R25C16</stp>
        <tr r="P25" s="2"/>
      </tp>
      <tp>
        <v>0.74250000000000005</v>
        <stp/>
        <stp>##V3_BDPV12</stp>
        <stp>USDZAR25B1y Curncy</stp>
        <stp>PX_LAST</stp>
        <stp>[Qwack - LMELookBackExample.xlsx]FundingFx!R25C15</stp>
        <tr r="O25" s="2"/>
      </tp>
      <tp>
        <v>4.21</v>
        <stp/>
        <stp>##V3_BDPV12</stp>
        <stp>USDZAR25R1y Curncy</stp>
        <stp>PX_LAST</stp>
        <stp>[Qwack - LMELookBackExample.xlsx]FundingFx!R25C13</stp>
        <tr r="M25" s="2"/>
      </tp>
      <tp>
        <v>16.645</v>
        <stp/>
        <stp>##V3_BDPV12</stp>
        <stp>USDZARV6m Curncy</stp>
        <stp>PX_LAST</stp>
        <stp>[Qwack - LMELookBackExample.xlsx]FundingFx!R23C12</stp>
        <tr r="L23" s="2"/>
      </tp>
      <tp>
        <v>-27.25</v>
        <stp/>
        <stp>##V3_BDPV12</stp>
        <stp>LMCADS 0003 Comdty</stp>
        <stp>PX_SETTLE</stp>
        <stp>[Qwack - LMELookBackExample.xlsx]MetalCurves!R6C8</stp>
        <tr r="H6" s="1"/>
      </tp>
      <tp>
        <v>-9</v>
        <stp/>
        <stp>##V3_BDPV12</stp>
        <stp>LMCADS 03M19 Comdty</stp>
        <stp>PX_SETTLE</stp>
        <stp>[Qwack - LMELookBackExample.xlsx]MetalCurves!R12C8</stp>
        <tr r="H12" s="1"/>
      </tp>
      <tp>
        <v>-63.5</v>
        <stp/>
        <stp>##V3_BDPV12</stp>
        <stp>LMAHDS 03F20 Comdty</stp>
        <stp>PX_SETTLE</stp>
        <stp>[Qwack - LMELookBackExample.xlsx]MetalCurves!R19C5</stp>
        <tr r="E19" s="1"/>
      </tp>
      <tp>
        <v>-308.25</v>
        <stp/>
        <stp>##V3_BDPV12</stp>
        <stp>LMAHDS 03H23 Comdty</stp>
        <stp>PX_SETTLE</stp>
        <stp>[Qwack - LMELookBackExample.xlsx]MetalCurves!R57C5</stp>
        <tr r="E57" s="1"/>
      </tp>
      <tp>
        <v>-20.5</v>
        <stp/>
        <stp>##V3_BDPV12</stp>
        <stp>LMAHDS 03M19 Comdty</stp>
        <stp>PX_SETTLE</stp>
        <stp>[Qwack - LMELookBackExample.xlsx]MetalCurves!R12C5</stp>
        <tr r="E12" s="1"/>
      </tp>
      <tp>
        <v>-32</v>
        <stp/>
        <stp>##V3_BDPV12</stp>
        <stp>LMCADS 03F20 Comdty</stp>
        <stp>PX_SETTLE</stp>
        <stp>[Qwack - LMELookBackExample.xlsx]MetalCurves!R19C8</stp>
        <tr r="H19" s="1"/>
      </tp>
      <tp>
        <v>-88</v>
        <stp/>
        <stp>##V3_BDPV12</stp>
        <stp>LMCADS 03H23 Comdty</stp>
        <stp>PX_SETTLE</stp>
        <stp>[Qwack - LMELookBackExample.xlsx]MetalCurves!R57C8</stp>
        <tr r="H57" s="1"/>
      </tp>
      <tp>
        <v>6.19</v>
        <stp/>
        <stp>##V3_BDPV12</stp>
        <stp>USDZAR10R6m Curncy</stp>
        <stp>PX_LAST</stp>
        <stp>[Qwack - LMELookBackExample.xlsx]FundingFx!R23C14</stp>
        <tr r="N23" s="2"/>
      </tp>
      <tp>
        <v>1.425</v>
        <stp/>
        <stp>##V3_BDPV12</stp>
        <stp>USDZAR10B6m Curncy</stp>
        <stp>PX_LAST</stp>
        <stp>[Qwack - LMELookBackExample.xlsx]FundingFx!R23C16</stp>
        <tr r="P23" s="2"/>
      </tp>
      <tp>
        <v>0.59499999999999997</v>
        <stp/>
        <stp>##V3_BDPV12</stp>
        <stp>USDZAR25B6m Curncy</stp>
        <stp>PX_LAST</stp>
        <stp>[Qwack - LMELookBackExample.xlsx]FundingFx!R23C15</stp>
        <tr r="O23" s="2"/>
      </tp>
      <tp>
        <v>3.3450000000000002</v>
        <stp/>
        <stp>##V3_BDPV12</stp>
        <stp>USDZAR25R6m Curncy</stp>
        <stp>PX_LAST</stp>
        <stp>[Qwack - LMELookBackExample.xlsx]FundingFx!R23C13</stp>
        <tr r="M23" s="2"/>
      </tp>
      <tp>
        <v>15.352499999999999</v>
        <stp/>
        <stp>##V3_BDPV12</stp>
        <stp>USDZARV1m Curncy</stp>
        <stp>PX_LAST</stp>
        <stp>[Qwack - LMELookBackExample.xlsx]FundingFx!R20C12</stp>
        <tr r="L20" s="2"/>
      </tp>
      <tp>
        <v>17.252500000000001</v>
        <stp/>
        <stp>##V3_BDPV12</stp>
        <stp>USDZARV1y Curncy</stp>
        <stp>PX_LAST</stp>
        <stp>[Qwack - LMELookBackExample.xlsx]FundingFx!R25C12</stp>
        <tr r="L25" s="2"/>
      </tp>
      <tp>
        <v>14.6625</v>
        <stp/>
        <stp>##V3_BDPV12</stp>
        <stp>USDZARV1w Curncy</stp>
        <stp>PX_LAST</stp>
        <stp>[Qwack - LMELookBackExample.xlsx]FundingFx!R19C12</stp>
        <tr r="L19" s="2"/>
      </tp>
      <tp>
        <v>-162.25</v>
        <stp/>
        <stp>##V3_BDPV12</stp>
        <stp>LMAHDS 03J21 Comdty</stp>
        <stp>PX_SETTLE</stp>
        <stp>[Qwack - LMELookBackExample.xlsx]MetalCurves!R34C5</stp>
        <tr r="E34" s="1"/>
      </tp>
      <tp>
        <v>-168.5</v>
        <stp/>
        <stp>##V3_BDPV12</stp>
        <stp>LMAHDS 03K21 Comdty</stp>
        <stp>PX_SETTLE</stp>
        <stp>[Qwack - LMELookBackExample.xlsx]MetalCurves!R35C5</stp>
        <tr r="E35" s="1"/>
      </tp>
      <tp>
        <v>-59</v>
        <stp/>
        <stp>##V3_BDPV12</stp>
        <stp>LMCADS 03J21 Comdty</stp>
        <stp>PX_SETTLE</stp>
        <stp>[Qwack - LMELookBackExample.xlsx]MetalCurves!R34C8</stp>
        <tr r="H34" s="1"/>
      </tp>
      <tp>
        <v>-60.5</v>
        <stp/>
        <stp>##V3_BDPV12</stp>
        <stp>LMCADS 03K21 Comdty</stp>
        <stp>PX_SETTLE</stp>
        <stp>[Qwack - LMELookBackExample.xlsx]MetalCurves!R35C8</stp>
        <tr r="H35" s="1"/>
      </tp>
      <tp>
        <v>-13</v>
        <stp/>
        <stp>##V3_BDPV12</stp>
        <stp>LMCADS 03N19 Comdty</stp>
        <stp>PX_SETTLE</stp>
        <stp>[Qwack - LMELookBackExample.xlsx]MetalCurves!R13C8</stp>
        <tr r="H13" s="1"/>
      </tp>
      <tp>
        <v>-233.25</v>
        <stp/>
        <stp>##V3_BDPV12</stp>
        <stp>LMAHDS 03H22 Comdty</stp>
        <stp>PX_SETTLE</stp>
        <stp>[Qwack - LMELookBackExample.xlsx]MetalCurves!R45C5</stp>
        <tr r="E45" s="1"/>
      </tp>
      <tp>
        <v>-29</v>
        <stp/>
        <stp>##V3_BDPV12</stp>
        <stp>LMAHDS 03N19 Comdty</stp>
        <stp>PX_SETTLE</stp>
        <stp>[Qwack - LMELookBackExample.xlsx]MetalCurves!R13C5</stp>
        <tr r="E13" s="1"/>
      </tp>
      <tp>
        <v>-75.5</v>
        <stp/>
        <stp>##V3_BDPV12</stp>
        <stp>LMCADS 03H22 Comdty</stp>
        <stp>PX_SETTLE</stp>
        <stp>[Qwack - LMELookBackExample.xlsx]MetalCurves!R45C8</stp>
        <tr r="H45" s="1"/>
      </tp>
      <tp>
        <v>11.105</v>
        <stp/>
        <stp>##V3_BDPV12</stp>
        <stp>USDZAR10R4y Curncy</stp>
        <stp>PX_LAST</stp>
        <stp>[Qwack - LMELookBackExample.xlsx]FundingFx!R29C14</stp>
        <tr r="N29" s="2"/>
      </tp>
      <tp>
        <v>2.4449999999999998</v>
        <stp/>
        <stp>##V3_BDPV12</stp>
        <stp>USDZAR10B4y Curncy</stp>
        <stp>PX_LAST</stp>
        <stp>[Qwack - LMELookBackExample.xlsx]FundingFx!R29C16</stp>
        <tr r="P29" s="2"/>
      </tp>
      <tp>
        <v>1.0149999999999999</v>
        <stp/>
        <stp>##V3_BDPV12</stp>
        <stp>USDZAR25B4y Curncy</stp>
        <stp>PX_LAST</stp>
        <stp>[Qwack - LMELookBackExample.xlsx]FundingFx!R29C15</stp>
        <tr r="O29" s="2"/>
      </tp>
      <tp>
        <v>6.01</v>
        <stp/>
        <stp>##V3_BDPV12</stp>
        <stp>USDZAR25R4y Curncy</stp>
        <stp>PX_LAST</stp>
        <stp>[Qwack - LMELookBackExample.xlsx]FundingFx!R29C13</stp>
        <tr r="M29" s="2"/>
      </tp>
      <tp>
        <v>16.13</v>
        <stp/>
        <stp>##V3_BDPV12</stp>
        <stp>USDZARV3m Curncy</stp>
        <stp>PX_LAST</stp>
        <stp>[Qwack - LMELookBackExample.xlsx]FundingFx!R22C12</stp>
        <tr r="L22" s="2"/>
      </tp>
      <tp>
        <v>-10.25</v>
        <stp/>
        <stp>##V3_BDPV12</stp>
        <stp>LMCADS G1903 Comdty</stp>
        <stp>PX_SETTLE</stp>
        <stp>[Qwack - LMELookBackExample.xlsx]MetalCurves!R7C8</stp>
        <tr r="H7" s="1"/>
      </tp>
      <tp>
        <v>-4.75</v>
        <stp/>
        <stp>##V3_BDPV12</stp>
        <stp>LMAHDS G1903 Comdty</stp>
        <stp>PX_SETTLE</stp>
        <stp>[Qwack - LMELookBackExample.xlsx]MetalCurves!R7C5</stp>
        <tr r="E7" s="1"/>
      </tp>
      <tp>
        <v>18.607500000000002</v>
        <stp/>
        <stp>##V3_BDPV12</stp>
        <stp>USDZARV3y Curncy</stp>
        <stp>PX_LAST</stp>
        <stp>[Qwack - LMELookBackExample.xlsx]FundingFx!R28C12</stp>
        <tr r="L28" s="2"/>
      </tp>
      <tp>
        <v>-241</v>
        <stp/>
        <stp>##V3_BDPV12</stp>
        <stp>LMAHDS 03J22 Comdty</stp>
        <stp>PX_SETTLE</stp>
        <stp>[Qwack - LMELookBackExample.xlsx]MetalCurves!R46C5</stp>
        <tr r="E46" s="1"/>
      </tp>
      <tp>
        <v>-247</v>
        <stp/>
        <stp>##V3_BDPV12</stp>
        <stp>LMAHDS 03K22 Comdty</stp>
        <stp>PX_SETTLE</stp>
        <stp>[Qwack - LMELookBackExample.xlsx]MetalCurves!R47C5</stp>
        <tr r="E47" s="1"/>
      </tp>
      <tp>
        <v>-77</v>
        <stp/>
        <stp>##V3_BDPV12</stp>
        <stp>LMCADS 03J22 Comdty</stp>
        <stp>PX_SETTLE</stp>
        <stp>[Qwack - LMELookBackExample.xlsx]MetalCurves!R46C8</stp>
        <tr r="H46" s="1"/>
      </tp>
      <tp>
        <v>-78.5</v>
        <stp/>
        <stp>##V3_BDPV12</stp>
        <stp>LMCADS 03K22 Comdty</stp>
        <stp>PX_SETTLE</stp>
        <stp>[Qwack - LMELookBackExample.xlsx]MetalCurves!R47C8</stp>
        <tr r="H47" s="1"/>
      </tp>
      <tp>
        <v>11.99</v>
        <stp/>
        <stp>##V3_BDPV12</stp>
        <stp>USDZAR10R5y Curncy</stp>
        <stp>PX_LAST</stp>
        <stp>[Qwack - LMELookBackExample.xlsx]FundingFx!R30C14</stp>
        <tr r="N30" s="2"/>
      </tp>
      <tp>
        <v>2.855</v>
        <stp/>
        <stp>##V3_BDPV12</stp>
        <stp>USDZAR10B5y Curncy</stp>
        <stp>PX_LAST</stp>
        <stp>[Qwack - LMELookBackExample.xlsx]FundingFx!R30C16</stp>
        <tr r="P30" s="2"/>
      </tp>
      <tp>
        <v>1.03</v>
        <stp/>
        <stp>##V3_BDPV12</stp>
        <stp>USDZAR25B5y Curncy</stp>
        <stp>PX_LAST</stp>
        <stp>[Qwack - LMELookBackExample.xlsx]FundingFx!R30C15</stp>
        <tr r="O30" s="2"/>
      </tp>
      <tp>
        <v>6.4649999999999999</v>
        <stp/>
        <stp>##V3_BDPV12</stp>
        <stp>USDZAR25R5y Curncy</stp>
        <stp>PX_LAST</stp>
        <stp>[Qwack - LMELookBackExample.xlsx]FundingFx!R30C13</stp>
        <tr r="M30" s="2"/>
      </tp>
      <tp>
        <v>15.715</v>
        <stp/>
        <stp>##V3_BDPV12</stp>
        <stp>USDZARV2m Curncy</stp>
        <stp>PX_LAST</stp>
        <stp>[Qwack - LMELookBackExample.xlsx]FundingFx!R21C12</stp>
        <tr r="L21" s="2"/>
      </tp>
      <tp>
        <v>17.877500000000001</v>
        <stp/>
        <stp>##V3_BDPV12</stp>
        <stp>USDZARV2y Curncy</stp>
        <stp>PX_LAST</stp>
        <stp>[Qwack - LMELookBackExample.xlsx]FundingFx!R27C12</stp>
        <tr r="L27" s="2"/>
      </tp>
      <tp>
        <v>-227</v>
        <stp/>
        <stp>##V3_BDPV12</stp>
        <stp>LMAHDS 03G22 Comdty</stp>
        <stp>PX_SETTLE</stp>
        <stp>[Qwack - LMELookBackExample.xlsx]MetalCurves!R44C5</stp>
        <tr r="E44" s="1"/>
      </tp>
      <tp>
        <v>-296.75</v>
        <stp/>
        <stp>##V3_BDPV12</stp>
        <stp>LMAHDS 03F23 Comdty</stp>
        <stp>PX_SETTLE</stp>
        <stp>[Qwack - LMELookBackExample.xlsx]MetalCurves!R55C5</stp>
        <tr r="E55" s="1"/>
      </tp>
      <tp>
        <v>-74</v>
        <stp/>
        <stp>##V3_BDPV12</stp>
        <stp>LMCADS 03G22 Comdty</stp>
        <stp>PX_SETTLE</stp>
        <stp>[Qwack - LMELookBackExample.xlsx]MetalCurves!R44C8</stp>
        <tr r="H44" s="1"/>
      </tp>
      <tp>
        <v>-88</v>
        <stp/>
        <stp>##V3_BDPV12</stp>
        <stp>LMCADS 03F23 Comdty</stp>
        <stp>PX_SETTLE</stp>
        <stp>[Qwack - LMELookBackExample.xlsx]MetalCurves!R55C8</stp>
        <tr r="H55" s="1"/>
      </tp>
      <tp>
        <v>2.19</v>
        <stp/>
        <stp>##V3_BDPV12</stp>
        <stp>XAUUSD25R2y Comdty</stp>
        <stp>PX_LAST</stp>
        <stp>[Qwack - LMELookBackExample.xlsx]MetalCurves!R72C8</stp>
        <tr r="H72" s="1"/>
      </tp>
      <tp t="s">
        <v>#N/A N/A</v>
        <stp/>
        <stp>##V3_BDPV12</stp>
        <stp>LMCADS J1903 Comdty</stp>
        <stp>PX_SETTLE</stp>
        <stp>[Qwack - LMELookBackExample.xlsx]MetalCurves!R9C8</stp>
        <tr r="H9" s="1"/>
      </tp>
      <tp t="s">
        <v>#N/A N/A</v>
        <stp/>
        <stp>##V3_BDPV12</stp>
        <stp>LMAHDS J1903 Comdty</stp>
        <stp>PX_SETTLE</stp>
        <stp>[Qwack - LMELookBackExample.xlsx]MetalCurves!R9C5</stp>
        <tr r="E9" s="1"/>
      </tp>
      <tp>
        <v>-314.25</v>
        <stp/>
        <stp>##V3_BDPV12</stp>
        <stp>LMAHDS 03J23 Comdty</stp>
        <stp>PX_SETTLE</stp>
        <stp>[Qwack - LMELookBackExample.xlsx]MetalCurves!R58C5</stp>
        <tr r="E58" s="1"/>
      </tp>
      <tp>
        <v>-320.25</v>
        <stp/>
        <stp>##V3_BDPV12</stp>
        <stp>LMAHDS 03K23 Comdty</stp>
        <stp>PX_SETTLE</stp>
        <stp>[Qwack - LMELookBackExample.xlsx]MetalCurves!R59C5</stp>
        <tr r="E59" s="1"/>
      </tp>
      <tp>
        <v>-88</v>
        <stp/>
        <stp>##V3_BDPV12</stp>
        <stp>LMCADS 03J23 Comdty</stp>
        <stp>PX_SETTLE</stp>
        <stp>[Qwack - LMELookBackExample.xlsx]MetalCurves!R58C8</stp>
        <tr r="H58" s="1"/>
      </tp>
      <tp>
        <v>-88</v>
        <stp/>
        <stp>##V3_BDPV12</stp>
        <stp>LMCADS 03K23 Comdty</stp>
        <stp>PX_SETTLE</stp>
        <stp>[Qwack - LMELookBackExample.xlsx]MetalCurves!R59C8</stp>
        <tr r="H59" s="1"/>
      </tp>
      <tp>
        <v>2.2425000000000002</v>
        <stp/>
        <stp>##V3_BDPV12</stp>
        <stp>XAUUSD25R3y Comdty</stp>
        <stp>PX_LAST</stp>
        <stp>[Qwack - LMELookBackExample.xlsx]MetalCurves!R73C8</stp>
        <tr r="H73" s="1"/>
      </tp>
      <tp>
        <v>4.1849999999999996</v>
        <stp/>
        <stp>##V3_BDPV12</stp>
        <stp>XAUUSD10R1y Comdty</stp>
        <stp>PX_LAST</stp>
        <stp>[Qwack - LMELookBackExample.xlsx]MetalCurves!R70C9</stp>
        <tr r="I70" s="1"/>
      </tp>
      <tp>
        <v>-5.5</v>
        <stp/>
        <stp>##V3_BDPV12</stp>
        <stp>LMCADS H1903 Comdty</stp>
        <stp>PX_SETTLE</stp>
        <stp>[Qwack - LMELookBackExample.xlsx]MetalCurves!R8C8</stp>
        <tr r="H8" s="1"/>
      </tp>
      <tp>
        <v>4</v>
        <stp/>
        <stp>##V3_BDPV12</stp>
        <stp>LMAHDS H1903 Comdty</stp>
        <stp>PX_SETTLE</stp>
        <stp>[Qwack - LMELookBackExample.xlsx]MetalCurves!R8C5</stp>
        <tr r="E8" s="1"/>
      </tp>
      <tp>
        <v>6039.5</v>
        <stp/>
        <stp>##V3_BDPV12</stp>
        <stp>LMCADS03 Comdty</stp>
        <stp>PX_LAST</stp>
        <stp>[Qwack - LMELookBackExample.xlsx]MetalCurves!R3C18</stp>
        <tr r="R3" s="1"/>
      </tp>
      <tp>
        <v>-302.5</v>
        <stp/>
        <stp>##V3_BDPV12</stp>
        <stp>LMAHDS 03G23 Comdty</stp>
        <stp>PX_SETTLE</stp>
        <stp>[Qwack - LMELookBackExample.xlsx]MetalCurves!R56C5</stp>
        <tr r="E56" s="1"/>
      </tp>
      <tp>
        <v>-88</v>
        <stp/>
        <stp>##V3_BDPV12</stp>
        <stp>LMCADS 03G23 Comdty</stp>
        <stp>PX_SETTLE</stp>
        <stp>[Qwack - LMELookBackExample.xlsx]MetalCurves!R56C8</stp>
        <tr r="H56" s="1"/>
      </tp>
      <tp>
        <v>2.0975000000000001</v>
        <stp/>
        <stp>##V3_BDPV12</stp>
        <stp>XAUUSD25R1y Comdty</stp>
        <stp>PX_LAST</stp>
        <stp>[Qwack - LMELookBackExample.xlsx]MetalCurves!R70C8</stp>
        <tr r="H70" s="1"/>
      </tp>
      <tp>
        <v>4.5350000000000001</v>
        <stp/>
        <stp>##V3_BDPV12</stp>
        <stp>XAUUSD10R3y Comdty</stp>
        <stp>PX_LAST</stp>
        <stp>[Qwack - LMELookBackExample.xlsx]MetalCurves!R73C9</stp>
        <tr r="I73" s="1"/>
      </tp>
      <tp>
        <v>-13.75</v>
        <stp/>
        <stp>##V3_BDPV12</stp>
        <stp>LMAHDS 0003 Comdty</stp>
        <stp>PX_SETTLE</stp>
        <stp>[Qwack - LMELookBackExample.xlsx]MetalCurves!R6C5</stp>
        <tr r="E6" s="1"/>
      </tp>
      <tp>
        <v>4.4249999999999998</v>
        <stp/>
        <stp>##V3_BDPV12</stp>
        <stp>XAUUSD10R2y Comdty</stp>
        <stp>PX_LAST</stp>
        <stp>[Qwack - LMELookBackExample.xlsx]MetalCurves!R72C9</stp>
        <tr r="I72" s="1"/>
      </tp>
      <tp>
        <v>7.2725</v>
        <stp/>
        <stp>##V3_BDPV12</stp>
        <stp>USDZAR10R9m Curncy</stp>
        <stp>PX_LAST</stp>
        <stp>[Qwack - LMELookBackExample.xlsx]FundingFx!R24C14</stp>
        <tr r="N24" s="2"/>
      </tp>
      <tp>
        <v>1.52</v>
        <stp/>
        <stp>##V3_BDPV12</stp>
        <stp>USDZAR10B9m Curncy</stp>
        <stp>PX_LAST</stp>
        <stp>[Qwack - LMELookBackExample.xlsx]FundingFx!R24C16</stp>
        <tr r="P24" s="2"/>
      </tp>
      <tp>
        <v>0.67249999999999999</v>
        <stp/>
        <stp>##V3_BDPV12</stp>
        <stp>USDZAR25B9m Curncy</stp>
        <stp>PX_LAST</stp>
        <stp>[Qwack - LMELookBackExample.xlsx]FundingFx!R24C15</stp>
        <tr r="O24" s="2"/>
      </tp>
      <tp>
        <v>3.855</v>
        <stp/>
        <stp>##V3_BDPV12</stp>
        <stp>USDZAR25R9m Curncy</stp>
        <stp>PX_LAST</stp>
        <stp>[Qwack - LMELookBackExample.xlsx]FundingFx!R24C13</stp>
        <tr r="M24" s="2"/>
      </tp>
      <tp>
        <v>-71</v>
        <stp/>
        <stp>##V3_BDPV12</stp>
        <stp>LMAHDS 03G20 Comdty</stp>
        <stp>PX_SETTLE</stp>
        <stp>[Qwack - LMELookBackExample.xlsx]MetalCurves!R20C5</stp>
        <tr r="E20" s="1"/>
      </tp>
      <tp>
        <v>-142.5</v>
        <stp/>
        <stp>##V3_BDPV12</stp>
        <stp>LMAHDS 03F21 Comdty</stp>
        <stp>PX_SETTLE</stp>
        <stp>[Qwack - LMELookBackExample.xlsx]MetalCurves!R31C5</stp>
        <tr r="E31" s="1"/>
      </tp>
      <tp>
        <v>-260.25</v>
        <stp/>
        <stp>##V3_BDPV12</stp>
        <stp>LMAHDS 03N22 Comdty</stp>
        <stp>PX_SETTLE</stp>
        <stp>[Qwack - LMELookBackExample.xlsx]MetalCurves!R49C5</stp>
        <tr r="E49" s="1"/>
      </tp>
      <tp>
        <v>-34</v>
        <stp/>
        <stp>##V3_BDPV12</stp>
        <stp>LMCADS 03G20 Comdty</stp>
        <stp>PX_SETTLE</stp>
        <stp>[Qwack - LMELookBackExample.xlsx]MetalCurves!R20C8</stp>
        <tr r="H20" s="1"/>
      </tp>
      <tp>
        <v>-53</v>
        <stp/>
        <stp>##V3_BDPV12</stp>
        <stp>LMCADS 03F21 Comdty</stp>
        <stp>PX_SETTLE</stp>
        <stp>[Qwack - LMELookBackExample.xlsx]MetalCurves!R31C8</stp>
        <tr r="H31" s="1"/>
      </tp>
      <tp>
        <v>-81.5</v>
        <stp/>
        <stp>##V3_BDPV12</stp>
        <stp>LMCADS 03N22 Comdty</stp>
        <stp>PX_SETTLE</stp>
        <stp>[Qwack - LMELookBackExample.xlsx]MetalCurves!R49C8</stp>
        <tr r="H49" s="1"/>
      </tp>
      <tp>
        <v>4.6275000000000004</v>
        <stp/>
        <stp>##V3_BDPV12</stp>
        <stp>XAUUSD10R5y Comdty</stp>
        <stp>PX_LAST</stp>
        <stp>[Qwack - LMELookBackExample.xlsx]MetalCurves!R75C9</stp>
        <tr r="I75" s="1"/>
      </tp>
      <tp>
        <v>16.932500000000001</v>
        <stp/>
        <stp>##V3_BDPV12</stp>
        <stp>USDZARV9m Curncy</stp>
        <stp>PX_LAST</stp>
        <stp>[Qwack - LMELookBackExample.xlsx]FundingFx!R24C12</stp>
        <tr r="L24" s="2"/>
      </tp>
      <tp>
        <v>7.25</v>
        <stp/>
        <stp>##V3_BDPV12</stp>
        <stp>LMZSDS 0003 Comdty</stp>
        <stp>PX_SETTLE</stp>
        <stp>[Qwack - LMELookBackExample.xlsx]MetalCurves!R6C11</stp>
        <tr r="K6" s="1"/>
      </tp>
      <tp>
        <v>-44.5</v>
        <stp/>
        <stp>##V3_BDPV12</stp>
        <stp>LMNIDS 0003 Comdty</stp>
        <stp>PX_SETTLE</stp>
        <stp>[Qwack - LMELookBackExample.xlsx]MetalCurves!R6C14</stp>
        <tr r="N6" s="1"/>
      </tp>
      <tp>
        <v>4.6275000000000004</v>
        <stp/>
        <stp>##V3_BDPV12</stp>
        <stp>XAUUSD10R4y Comdty</stp>
        <stp>PX_LAST</stp>
        <stp>[Qwack - LMELookBackExample.xlsx]MetalCurves!R74C9</stp>
        <tr r="I74" s="1"/>
      </tp>
      <tp>
        <v>17.692499999999999</v>
        <stp/>
        <stp>##V3_BDPV12</stp>
        <stp>USDZARV18m Curncy</stp>
        <stp>PX_LAST</stp>
        <stp>[Qwack - LMELookBackExample.xlsx]FundingFx!R26C12</stp>
        <tr r="L26" s="2"/>
      </tp>
      <tp>
        <v>-148.5</v>
        <stp/>
        <stp>##V3_BDPV12</stp>
        <stp>LMAHDS 03G21 Comdty</stp>
        <stp>PX_SETTLE</stp>
        <stp>[Qwack - LMELookBackExample.xlsx]MetalCurves!R32C5</stp>
        <tr r="E32" s="1"/>
      </tp>
      <tp>
        <v>-220.75</v>
        <stp/>
        <stp>##V3_BDPV12</stp>
        <stp>LMAHDS 03F22 Comdty</stp>
        <stp>PX_SETTLE</stp>
        <stp>[Qwack - LMELookBackExample.xlsx]MetalCurves!R43C5</stp>
        <tr r="E43" s="1"/>
      </tp>
      <tp>
        <v>-253</v>
        <stp/>
        <stp>##V3_BDPV12</stp>
        <stp>LMAHDS 03M22 Comdty</stp>
        <stp>PX_SETTLE</stp>
        <stp>[Qwack - LMELookBackExample.xlsx]MetalCurves!R48C5</stp>
        <tr r="E48" s="1"/>
      </tp>
      <tp>
        <v>-55</v>
        <stp/>
        <stp>##V3_BDPV12</stp>
        <stp>LMCADS 03G21 Comdty</stp>
        <stp>PX_SETTLE</stp>
        <stp>[Qwack - LMELookBackExample.xlsx]MetalCurves!R32C8</stp>
        <tr r="H32" s="1"/>
      </tp>
      <tp>
        <v>-72.5</v>
        <stp/>
        <stp>##V3_BDPV12</stp>
        <stp>LMCADS 03F22 Comdty</stp>
        <stp>PX_SETTLE</stp>
        <stp>[Qwack - LMELookBackExample.xlsx]MetalCurves!R43C8</stp>
        <tr r="H43" s="1"/>
      </tp>
      <tp>
        <v>-80</v>
        <stp/>
        <stp>##V3_BDPV12</stp>
        <stp>LMCADS 03M22 Comdty</stp>
        <stp>PX_SETTLE</stp>
        <stp>[Qwack - LMELookBackExample.xlsx]MetalCurves!R48C8</stp>
        <tr r="H48" s="1"/>
      </tp>
      <tp>
        <v>2.2875000000000001</v>
        <stp/>
        <stp>##V3_BDPV12</stp>
        <stp>XAUUSD25R4y Comdty</stp>
        <stp>PX_LAST</stp>
        <stp>[Qwack - LMELookBackExample.xlsx]MetalCurves!R74C8</stp>
        <tr r="H74" s="1"/>
      </tp>
      <tp>
        <v>2.2875000000000001</v>
        <stp/>
        <stp>##V3_BDPV12</stp>
        <stp>XAUUSD25R5y Comdty</stp>
        <stp>PX_LAST</stp>
        <stp>[Qwack - LMELookBackExample.xlsx]MetalCurves!R75C8</stp>
        <tr r="H75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9324182837801"/>
          <c:y val="6.8994184097031924E-2"/>
          <c:w val="0.86195048023368659"/>
          <c:h val="0.75771711355463822"/>
        </c:manualLayout>
      </c:layout>
      <c:lineChart>
        <c:grouping val="standard"/>
        <c:varyColors val="0"/>
        <c:ser>
          <c:idx val="0"/>
          <c:order val="0"/>
          <c:tx>
            <c:strRef>
              <c:f>MetalCurves!$I$93</c:f>
              <c:strCache>
                <c:ptCount val="1"/>
                <c:pt idx="0">
                  <c:v>XAU/ZAR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MetalCurves!$H$94:$H$147</c:f>
              <c:numCache>
                <c:formatCode>_(* #,##0.00_);_(* \(#,##0.00\);_(* "-"??_);_(@_)</c:formatCode>
                <c:ptCount val="54"/>
                <c:pt idx="0">
                  <c:v>14000</c:v>
                </c:pt>
                <c:pt idx="1">
                  <c:v>14500</c:v>
                </c:pt>
                <c:pt idx="2">
                  <c:v>15000</c:v>
                </c:pt>
                <c:pt idx="3">
                  <c:v>15500</c:v>
                </c:pt>
                <c:pt idx="4">
                  <c:v>16000</c:v>
                </c:pt>
                <c:pt idx="5">
                  <c:v>16250</c:v>
                </c:pt>
                <c:pt idx="6">
                  <c:v>16500</c:v>
                </c:pt>
                <c:pt idx="7">
                  <c:v>16750</c:v>
                </c:pt>
                <c:pt idx="8">
                  <c:v>17000</c:v>
                </c:pt>
                <c:pt idx="9">
                  <c:v>17250</c:v>
                </c:pt>
                <c:pt idx="10">
                  <c:v>17500</c:v>
                </c:pt>
                <c:pt idx="11">
                  <c:v>17750</c:v>
                </c:pt>
                <c:pt idx="12">
                  <c:v>18000</c:v>
                </c:pt>
                <c:pt idx="13">
                  <c:v>18250</c:v>
                </c:pt>
                <c:pt idx="14">
                  <c:v>18500</c:v>
                </c:pt>
                <c:pt idx="15">
                  <c:v>18750</c:v>
                </c:pt>
                <c:pt idx="16">
                  <c:v>19000</c:v>
                </c:pt>
                <c:pt idx="17">
                  <c:v>19250</c:v>
                </c:pt>
                <c:pt idx="18">
                  <c:v>19500</c:v>
                </c:pt>
                <c:pt idx="19">
                  <c:v>19750</c:v>
                </c:pt>
                <c:pt idx="20">
                  <c:v>20000</c:v>
                </c:pt>
                <c:pt idx="21">
                  <c:v>20250</c:v>
                </c:pt>
                <c:pt idx="22">
                  <c:v>20500</c:v>
                </c:pt>
                <c:pt idx="23">
                  <c:v>20750</c:v>
                </c:pt>
                <c:pt idx="24">
                  <c:v>21000</c:v>
                </c:pt>
                <c:pt idx="25">
                  <c:v>21250</c:v>
                </c:pt>
                <c:pt idx="26">
                  <c:v>21500</c:v>
                </c:pt>
                <c:pt idx="27">
                  <c:v>21750</c:v>
                </c:pt>
                <c:pt idx="28">
                  <c:v>22000</c:v>
                </c:pt>
                <c:pt idx="29">
                  <c:v>22250</c:v>
                </c:pt>
                <c:pt idx="30">
                  <c:v>22500</c:v>
                </c:pt>
                <c:pt idx="31">
                  <c:v>22750</c:v>
                </c:pt>
                <c:pt idx="32">
                  <c:v>23000</c:v>
                </c:pt>
                <c:pt idx="33">
                  <c:v>23250</c:v>
                </c:pt>
                <c:pt idx="34">
                  <c:v>23500</c:v>
                </c:pt>
                <c:pt idx="35">
                  <c:v>23750</c:v>
                </c:pt>
                <c:pt idx="36">
                  <c:v>24000</c:v>
                </c:pt>
                <c:pt idx="37">
                  <c:v>24250</c:v>
                </c:pt>
                <c:pt idx="38">
                  <c:v>24500</c:v>
                </c:pt>
                <c:pt idx="39">
                  <c:v>24750</c:v>
                </c:pt>
                <c:pt idx="40">
                  <c:v>25000</c:v>
                </c:pt>
                <c:pt idx="41">
                  <c:v>25250</c:v>
                </c:pt>
                <c:pt idx="42">
                  <c:v>25500</c:v>
                </c:pt>
                <c:pt idx="43">
                  <c:v>25750</c:v>
                </c:pt>
                <c:pt idx="44">
                  <c:v>26000</c:v>
                </c:pt>
                <c:pt idx="45">
                  <c:v>26250</c:v>
                </c:pt>
                <c:pt idx="46">
                  <c:v>26500</c:v>
                </c:pt>
                <c:pt idx="47">
                  <c:v>26750</c:v>
                </c:pt>
                <c:pt idx="48">
                  <c:v>27000</c:v>
                </c:pt>
                <c:pt idx="49">
                  <c:v>27250</c:v>
                </c:pt>
                <c:pt idx="50">
                  <c:v>27500</c:v>
                </c:pt>
                <c:pt idx="51">
                  <c:v>27750</c:v>
                </c:pt>
                <c:pt idx="52">
                  <c:v>28000</c:v>
                </c:pt>
                <c:pt idx="53">
                  <c:v>28250</c:v>
                </c:pt>
              </c:numCache>
            </c:numRef>
          </c:cat>
          <c:val>
            <c:numRef>
              <c:f>MetalCurves!$I$94:$I$147</c:f>
              <c:numCache>
                <c:formatCode>0.00%</c:formatCode>
                <c:ptCount val="5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5.0000000000000009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4.9999999999999991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4.9999999999999991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AB-4531-B328-594266C58081}"/>
            </c:ext>
          </c:extLst>
        </c:ser>
        <c:ser>
          <c:idx val="1"/>
          <c:order val="1"/>
          <c:tx>
            <c:strRef>
              <c:f>MetalCurves!$J$93</c:f>
              <c:strCache>
                <c:ptCount val="1"/>
                <c:pt idx="0">
                  <c:v>XAU/USD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MetalCurves!$H$94:$H$147</c:f>
              <c:numCache>
                <c:formatCode>_(* #,##0.00_);_(* \(#,##0.00\);_(* "-"??_);_(@_)</c:formatCode>
                <c:ptCount val="54"/>
                <c:pt idx="0">
                  <c:v>14000</c:v>
                </c:pt>
                <c:pt idx="1">
                  <c:v>14500</c:v>
                </c:pt>
                <c:pt idx="2">
                  <c:v>15000</c:v>
                </c:pt>
                <c:pt idx="3">
                  <c:v>15500</c:v>
                </c:pt>
                <c:pt idx="4">
                  <c:v>16000</c:v>
                </c:pt>
                <c:pt idx="5">
                  <c:v>16250</c:v>
                </c:pt>
                <c:pt idx="6">
                  <c:v>16500</c:v>
                </c:pt>
                <c:pt idx="7">
                  <c:v>16750</c:v>
                </c:pt>
                <c:pt idx="8">
                  <c:v>17000</c:v>
                </c:pt>
                <c:pt idx="9">
                  <c:v>17250</c:v>
                </c:pt>
                <c:pt idx="10">
                  <c:v>17500</c:v>
                </c:pt>
                <c:pt idx="11">
                  <c:v>17750</c:v>
                </c:pt>
                <c:pt idx="12">
                  <c:v>18000</c:v>
                </c:pt>
                <c:pt idx="13">
                  <c:v>18250</c:v>
                </c:pt>
                <c:pt idx="14">
                  <c:v>18500</c:v>
                </c:pt>
                <c:pt idx="15">
                  <c:v>18750</c:v>
                </c:pt>
                <c:pt idx="16">
                  <c:v>19000</c:v>
                </c:pt>
                <c:pt idx="17">
                  <c:v>19250</c:v>
                </c:pt>
                <c:pt idx="18">
                  <c:v>19500</c:v>
                </c:pt>
                <c:pt idx="19">
                  <c:v>19750</c:v>
                </c:pt>
                <c:pt idx="20">
                  <c:v>20000</c:v>
                </c:pt>
                <c:pt idx="21">
                  <c:v>20250</c:v>
                </c:pt>
                <c:pt idx="22">
                  <c:v>20500</c:v>
                </c:pt>
                <c:pt idx="23">
                  <c:v>20750</c:v>
                </c:pt>
                <c:pt idx="24">
                  <c:v>21000</c:v>
                </c:pt>
                <c:pt idx="25">
                  <c:v>21250</c:v>
                </c:pt>
                <c:pt idx="26">
                  <c:v>21500</c:v>
                </c:pt>
                <c:pt idx="27">
                  <c:v>21750</c:v>
                </c:pt>
                <c:pt idx="28">
                  <c:v>22000</c:v>
                </c:pt>
                <c:pt idx="29">
                  <c:v>22250</c:v>
                </c:pt>
                <c:pt idx="30">
                  <c:v>22500</c:v>
                </c:pt>
                <c:pt idx="31">
                  <c:v>22750</c:v>
                </c:pt>
                <c:pt idx="32">
                  <c:v>23000</c:v>
                </c:pt>
                <c:pt idx="33">
                  <c:v>23250</c:v>
                </c:pt>
                <c:pt idx="34">
                  <c:v>23500</c:v>
                </c:pt>
                <c:pt idx="35">
                  <c:v>23750</c:v>
                </c:pt>
                <c:pt idx="36">
                  <c:v>24000</c:v>
                </c:pt>
                <c:pt idx="37">
                  <c:v>24250</c:v>
                </c:pt>
                <c:pt idx="38">
                  <c:v>24500</c:v>
                </c:pt>
                <c:pt idx="39">
                  <c:v>24750</c:v>
                </c:pt>
                <c:pt idx="40">
                  <c:v>25000</c:v>
                </c:pt>
                <c:pt idx="41">
                  <c:v>25250</c:v>
                </c:pt>
                <c:pt idx="42">
                  <c:v>25500</c:v>
                </c:pt>
                <c:pt idx="43">
                  <c:v>25750</c:v>
                </c:pt>
                <c:pt idx="44">
                  <c:v>26000</c:v>
                </c:pt>
                <c:pt idx="45">
                  <c:v>26250</c:v>
                </c:pt>
                <c:pt idx="46">
                  <c:v>26500</c:v>
                </c:pt>
                <c:pt idx="47">
                  <c:v>26750</c:v>
                </c:pt>
                <c:pt idx="48">
                  <c:v>27000</c:v>
                </c:pt>
                <c:pt idx="49">
                  <c:v>27250</c:v>
                </c:pt>
                <c:pt idx="50">
                  <c:v>27500</c:v>
                </c:pt>
                <c:pt idx="51">
                  <c:v>27750</c:v>
                </c:pt>
                <c:pt idx="52">
                  <c:v>28000</c:v>
                </c:pt>
                <c:pt idx="53">
                  <c:v>28250</c:v>
                </c:pt>
              </c:numCache>
            </c:numRef>
          </c:cat>
          <c:val>
            <c:numRef>
              <c:f>MetalCurves!$J$94:$J$147</c:f>
              <c:numCache>
                <c:formatCode>0.00%</c:formatCode>
                <c:ptCount val="54"/>
                <c:pt idx="0">
                  <c:v>0.13529055200857998</c:v>
                </c:pt>
                <c:pt idx="1">
                  <c:v>0.13457120976185338</c:v>
                </c:pt>
                <c:pt idx="2">
                  <c:v>0.13345775796535989</c:v>
                </c:pt>
                <c:pt idx="3">
                  <c:v>0.13187404588137336</c:v>
                </c:pt>
                <c:pt idx="4">
                  <c:v>0.12979162058325555</c:v>
                </c:pt>
                <c:pt idx="5">
                  <c:v>0.12857522710443034</c:v>
                </c:pt>
                <c:pt idx="6">
                  <c:v>0.12726213519331486</c:v>
                </c:pt>
                <c:pt idx="7">
                  <c:v>0.12587930539665387</c:v>
                </c:pt>
                <c:pt idx="8">
                  <c:v>0.12446598265476011</c:v>
                </c:pt>
                <c:pt idx="9">
                  <c:v>0.1230757834846853</c:v>
                </c:pt>
                <c:pt idx="10">
                  <c:v>0.12177722910489258</c:v>
                </c:pt>
                <c:pt idx="11">
                  <c:v>0.12065054356804408</c:v>
                </c:pt>
                <c:pt idx="12">
                  <c:v>0.11977858564907712</c:v>
                </c:pt>
                <c:pt idx="13">
                  <c:v>0.11923300534388542</c:v>
                </c:pt>
                <c:pt idx="14">
                  <c:v>0.11906360688722689</c:v>
                </c:pt>
                <c:pt idx="15">
                  <c:v>0.11930207158448228</c:v>
                </c:pt>
                <c:pt idx="16">
                  <c:v>0.11997916554710431</c:v>
                </c:pt>
                <c:pt idx="17">
                  <c:v>0.12113433892533423</c:v>
                </c:pt>
                <c:pt idx="18">
                  <c:v>0.12279779188681643</c:v>
                </c:pt>
                <c:pt idx="19">
                  <c:v>0.12495677268048927</c:v>
                </c:pt>
                <c:pt idx="20">
                  <c:v>0.12754069857859396</c:v>
                </c:pt>
                <c:pt idx="21">
                  <c:v>0.13043910043136178</c:v>
                </c:pt>
                <c:pt idx="22">
                  <c:v>0.13353329168404554</c:v>
                </c:pt>
                <c:pt idx="23">
                  <c:v>0.13671950076940959</c:v>
                </c:pt>
                <c:pt idx="24">
                  <c:v>0.13991768748115718</c:v>
                </c:pt>
                <c:pt idx="25">
                  <c:v>0.14307089279167928</c:v>
                </c:pt>
                <c:pt idx="26">
                  <c:v>0.14614085682250619</c:v>
                </c:pt>
                <c:pt idx="27">
                  <c:v>0.14910317707891554</c:v>
                </c:pt>
                <c:pt idx="28">
                  <c:v>0.15194324709646803</c:v>
                </c:pt>
                <c:pt idx="29">
                  <c:v>0.15465320585726064</c:v>
                </c:pt>
                <c:pt idx="30">
                  <c:v>0.15722976327801011</c:v>
                </c:pt>
                <c:pt idx="31">
                  <c:v>0.15967268951094576</c:v>
                </c:pt>
                <c:pt idx="32">
                  <c:v>0.16198377817971535</c:v>
                </c:pt>
                <c:pt idx="33">
                  <c:v>0.16416613866521138</c:v>
                </c:pt>
                <c:pt idx="34">
                  <c:v>0.16622371403753186</c:v>
                </c:pt>
                <c:pt idx="35">
                  <c:v>0.1681609530760092</c:v>
                </c:pt>
                <c:pt idx="36">
                  <c:v>0.16998258750795206</c:v>
                </c:pt>
                <c:pt idx="37">
                  <c:v>0.17169348125861827</c:v>
                </c:pt>
                <c:pt idx="38">
                  <c:v>0.17329852909497692</c:v>
                </c:pt>
                <c:pt idx="39">
                  <c:v>0.17480258923502659</c:v>
                </c:pt>
                <c:pt idx="40">
                  <c:v>0.17621043932573208</c:v>
                </c:pt>
                <c:pt idx="41">
                  <c:v>0.1775267484779986</c:v>
                </c:pt>
                <c:pt idx="42">
                  <c:v>0.17875606028421628</c:v>
                </c:pt>
                <c:pt idx="43">
                  <c:v>0.1799027832795014</c:v>
                </c:pt>
                <c:pt idx="44">
                  <c:v>0.18097118636929063</c:v>
                </c:pt>
                <c:pt idx="45">
                  <c:v>0.18196539748642412</c:v>
                </c:pt>
                <c:pt idx="46">
                  <c:v>0.18288940426055275</c:v>
                </c:pt>
                <c:pt idx="47">
                  <c:v>0.18374705585269085</c:v>
                </c:pt>
                <c:pt idx="48">
                  <c:v>0.18454206536987958</c:v>
                </c:pt>
                <c:pt idx="49">
                  <c:v>0.1852780124696925</c:v>
                </c:pt>
                <c:pt idx="50">
                  <c:v>0.18595834589863372</c:v>
                </c:pt>
                <c:pt idx="51">
                  <c:v>0.18658638581441683</c:v>
                </c:pt>
                <c:pt idx="52">
                  <c:v>0.18716532581528561</c:v>
                </c:pt>
                <c:pt idx="53">
                  <c:v>0.18769823465520094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AB-4531-B328-594266C58081}"/>
            </c:ext>
          </c:extLst>
        </c:ser>
        <c:ser>
          <c:idx val="2"/>
          <c:order val="2"/>
          <c:tx>
            <c:strRef>
              <c:f>MetalCurves!$K$93</c:f>
              <c:strCache>
                <c:ptCount val="1"/>
                <c:pt idx="0">
                  <c:v>USD/ZAR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MetalCurves!$H$94:$H$147</c:f>
              <c:numCache>
                <c:formatCode>_(* #,##0.00_);_(* \(#,##0.00\);_(* "-"??_);_(@_)</c:formatCode>
                <c:ptCount val="54"/>
                <c:pt idx="0">
                  <c:v>14000</c:v>
                </c:pt>
                <c:pt idx="1">
                  <c:v>14500</c:v>
                </c:pt>
                <c:pt idx="2">
                  <c:v>15000</c:v>
                </c:pt>
                <c:pt idx="3">
                  <c:v>15500</c:v>
                </c:pt>
                <c:pt idx="4">
                  <c:v>16000</c:v>
                </c:pt>
                <c:pt idx="5">
                  <c:v>16250</c:v>
                </c:pt>
                <c:pt idx="6">
                  <c:v>16500</c:v>
                </c:pt>
                <c:pt idx="7">
                  <c:v>16750</c:v>
                </c:pt>
                <c:pt idx="8">
                  <c:v>17000</c:v>
                </c:pt>
                <c:pt idx="9">
                  <c:v>17250</c:v>
                </c:pt>
                <c:pt idx="10">
                  <c:v>17500</c:v>
                </c:pt>
                <c:pt idx="11">
                  <c:v>17750</c:v>
                </c:pt>
                <c:pt idx="12">
                  <c:v>18000</c:v>
                </c:pt>
                <c:pt idx="13">
                  <c:v>18250</c:v>
                </c:pt>
                <c:pt idx="14">
                  <c:v>18500</c:v>
                </c:pt>
                <c:pt idx="15">
                  <c:v>18750</c:v>
                </c:pt>
                <c:pt idx="16">
                  <c:v>19000</c:v>
                </c:pt>
                <c:pt idx="17">
                  <c:v>19250</c:v>
                </c:pt>
                <c:pt idx="18">
                  <c:v>19500</c:v>
                </c:pt>
                <c:pt idx="19">
                  <c:v>19750</c:v>
                </c:pt>
                <c:pt idx="20">
                  <c:v>20000</c:v>
                </c:pt>
                <c:pt idx="21">
                  <c:v>20250</c:v>
                </c:pt>
                <c:pt idx="22">
                  <c:v>20500</c:v>
                </c:pt>
                <c:pt idx="23">
                  <c:v>20750</c:v>
                </c:pt>
                <c:pt idx="24">
                  <c:v>21000</c:v>
                </c:pt>
                <c:pt idx="25">
                  <c:v>21250</c:v>
                </c:pt>
                <c:pt idx="26">
                  <c:v>21500</c:v>
                </c:pt>
                <c:pt idx="27">
                  <c:v>21750</c:v>
                </c:pt>
                <c:pt idx="28">
                  <c:v>22000</c:v>
                </c:pt>
                <c:pt idx="29">
                  <c:v>22250</c:v>
                </c:pt>
                <c:pt idx="30">
                  <c:v>22500</c:v>
                </c:pt>
                <c:pt idx="31">
                  <c:v>22750</c:v>
                </c:pt>
                <c:pt idx="32">
                  <c:v>23000</c:v>
                </c:pt>
                <c:pt idx="33">
                  <c:v>23250</c:v>
                </c:pt>
                <c:pt idx="34">
                  <c:v>23500</c:v>
                </c:pt>
                <c:pt idx="35">
                  <c:v>23750</c:v>
                </c:pt>
                <c:pt idx="36">
                  <c:v>24000</c:v>
                </c:pt>
                <c:pt idx="37">
                  <c:v>24250</c:v>
                </c:pt>
                <c:pt idx="38">
                  <c:v>24500</c:v>
                </c:pt>
                <c:pt idx="39">
                  <c:v>24750</c:v>
                </c:pt>
                <c:pt idx="40">
                  <c:v>25000</c:v>
                </c:pt>
                <c:pt idx="41">
                  <c:v>25250</c:v>
                </c:pt>
                <c:pt idx="42">
                  <c:v>25500</c:v>
                </c:pt>
                <c:pt idx="43">
                  <c:v>25750</c:v>
                </c:pt>
                <c:pt idx="44">
                  <c:v>26000</c:v>
                </c:pt>
                <c:pt idx="45">
                  <c:v>26250</c:v>
                </c:pt>
                <c:pt idx="46">
                  <c:v>26500</c:v>
                </c:pt>
                <c:pt idx="47">
                  <c:v>26750</c:v>
                </c:pt>
                <c:pt idx="48">
                  <c:v>27000</c:v>
                </c:pt>
                <c:pt idx="49">
                  <c:v>27250</c:v>
                </c:pt>
                <c:pt idx="50">
                  <c:v>27500</c:v>
                </c:pt>
                <c:pt idx="51">
                  <c:v>27750</c:v>
                </c:pt>
                <c:pt idx="52">
                  <c:v>28000</c:v>
                </c:pt>
                <c:pt idx="53">
                  <c:v>28250</c:v>
                </c:pt>
              </c:numCache>
            </c:numRef>
          </c:cat>
          <c:val>
            <c:numRef>
              <c:f>MetalCurves!$K$94:$K$147</c:f>
              <c:numCache>
                <c:formatCode>0.00%</c:formatCode>
                <c:ptCount val="54"/>
                <c:pt idx="0">
                  <c:v>0.13906198548973933</c:v>
                </c:pt>
                <c:pt idx="1">
                  <c:v>0.14035590839411299</c:v>
                </c:pt>
                <c:pt idx="2">
                  <c:v>0.14248490178601408</c:v>
                </c:pt>
                <c:pt idx="3">
                  <c:v>0.14564291468198112</c:v>
                </c:pt>
                <c:pt idx="4">
                  <c:v>0.14975447184324825</c:v>
                </c:pt>
                <c:pt idx="5">
                  <c:v>0.15203020080975005</c:v>
                </c:pt>
                <c:pt idx="6">
                  <c:v>0.15433605078105231</c:v>
                </c:pt>
                <c:pt idx="7">
                  <c:v>0.15657876324272127</c:v>
                </c:pt>
                <c:pt idx="8">
                  <c:v>0.15867817092056904</c:v>
                </c:pt>
                <c:pt idx="9">
                  <c:v>0.16057854981367073</c:v>
                </c:pt>
                <c:pt idx="10">
                  <c:v>0.16225526495674095</c:v>
                </c:pt>
                <c:pt idx="11">
                  <c:v>0.16371745801417253</c:v>
                </c:pt>
                <c:pt idx="12">
                  <c:v>0.16500781766800515</c:v>
                </c:pt>
                <c:pt idx="13">
                  <c:v>0.16619946160107382</c:v>
                </c:pt>
                <c:pt idx="14">
                  <c:v>0.16738861840213751</c:v>
                </c:pt>
                <c:pt idx="15">
                  <c:v>0.16868140102325418</c:v>
                </c:pt>
                <c:pt idx="16">
                  <c:v>0.17017486151675817</c:v>
                </c:pt>
                <c:pt idx="17">
                  <c:v>0.17193678067688048</c:v>
                </c:pt>
                <c:pt idx="18">
                  <c:v>0.17399217406904219</c:v>
                </c:pt>
                <c:pt idx="19">
                  <c:v>0.17632269294610342</c:v>
                </c:pt>
                <c:pt idx="20">
                  <c:v>0.17887803013721837</c:v>
                </c:pt>
                <c:pt idx="21">
                  <c:v>0.18159237886809448</c:v>
                </c:pt>
                <c:pt idx="22">
                  <c:v>0.18439877034584098</c:v>
                </c:pt>
                <c:pt idx="23">
                  <c:v>0.18723795261820989</c:v>
                </c:pt>
                <c:pt idx="24">
                  <c:v>0.19006208324887239</c:v>
                </c:pt>
                <c:pt idx="25">
                  <c:v>0.19283501544310894</c:v>
                </c:pt>
                <c:pt idx="26">
                  <c:v>0.19553090170140117</c:v>
                </c:pt>
                <c:pt idx="27">
                  <c:v>0.19813224907439875</c:v>
                </c:pt>
                <c:pt idx="28">
                  <c:v>0.20062801308367548</c:v>
                </c:pt>
                <c:pt idx="29">
                  <c:v>0.20301196678196168</c:v>
                </c:pt>
                <c:pt idx="30">
                  <c:v>0.20528139834326056</c:v>
                </c:pt>
                <c:pt idx="31">
                  <c:v>0.20743611084712024</c:v>
                </c:pt>
                <c:pt idx="32">
                  <c:v>0.20947767185787358</c:v>
                </c:pt>
                <c:pt idx="33">
                  <c:v>0.21140885854509978</c:v>
                </c:pt>
                <c:pt idx="34">
                  <c:v>0.21323325132757093</c:v>
                </c:pt>
                <c:pt idx="35">
                  <c:v>0.21495493840706498</c:v>
                </c:pt>
                <c:pt idx="36">
                  <c:v>0.21657830229327504</c:v>
                </c:pt>
                <c:pt idx="37">
                  <c:v>0.2181078666303454</c:v>
                </c:pt>
                <c:pt idx="38">
                  <c:v>0.2195481872500214</c:v>
                </c:pt>
                <c:pt idx="39">
                  <c:v>0.22090377561478036</c:v>
                </c:pt>
                <c:pt idx="40">
                  <c:v>0.22217904595947716</c:v>
                </c:pt>
                <c:pt idx="41">
                  <c:v>0.22337827975274052</c:v>
                </c:pt>
                <c:pt idx="42">
                  <c:v>0.22450560279272774</c:v>
                </c:pt>
                <c:pt idx="43">
                  <c:v>0.22556497149136134</c:v>
                </c:pt>
                <c:pt idx="44">
                  <c:v>0.22656016580410027</c:v>
                </c:pt>
                <c:pt idx="45">
                  <c:v>0.22749478693524339</c:v>
                </c:pt>
                <c:pt idx="46">
                  <c:v>0.22837225842776962</c:v>
                </c:pt>
                <c:pt idx="47">
                  <c:v>0.22919582961610116</c:v>
                </c:pt>
                <c:pt idx="48">
                  <c:v>0.22996858068324752</c:v>
                </c:pt>
                <c:pt idx="49">
                  <c:v>0.23069342876359214</c:v>
                </c:pt>
                <c:pt idx="50">
                  <c:v>0.23137313468038581</c:v>
                </c:pt>
                <c:pt idx="51">
                  <c:v>0.2320103100175393</c:v>
                </c:pt>
                <c:pt idx="52">
                  <c:v>0.23260742430803263</c:v>
                </c:pt>
                <c:pt idx="53">
                  <c:v>0.23316681218333765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AB-4531-B328-594266C58081}"/>
            </c:ext>
          </c:extLst>
        </c:ser>
        <c:ser>
          <c:idx val="3"/>
          <c:order val="3"/>
          <c:tx>
            <c:strRef>
              <c:f>MetalCurves!$L$93</c:f>
              <c:strCache>
                <c:ptCount val="1"/>
                <c:pt idx="0">
                  <c:v>Basic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MetalCurves!$H$94:$H$147</c:f>
              <c:numCache>
                <c:formatCode>_(* #,##0.00_);_(* \(#,##0.00\);_(* "-"??_);_(@_)</c:formatCode>
                <c:ptCount val="54"/>
                <c:pt idx="0">
                  <c:v>14000</c:v>
                </c:pt>
                <c:pt idx="1">
                  <c:v>14500</c:v>
                </c:pt>
                <c:pt idx="2">
                  <c:v>15000</c:v>
                </c:pt>
                <c:pt idx="3">
                  <c:v>15500</c:v>
                </c:pt>
                <c:pt idx="4">
                  <c:v>16000</c:v>
                </c:pt>
                <c:pt idx="5">
                  <c:v>16250</c:v>
                </c:pt>
                <c:pt idx="6">
                  <c:v>16500</c:v>
                </c:pt>
                <c:pt idx="7">
                  <c:v>16750</c:v>
                </c:pt>
                <c:pt idx="8">
                  <c:v>17000</c:v>
                </c:pt>
                <c:pt idx="9">
                  <c:v>17250</c:v>
                </c:pt>
                <c:pt idx="10">
                  <c:v>17500</c:v>
                </c:pt>
                <c:pt idx="11">
                  <c:v>17750</c:v>
                </c:pt>
                <c:pt idx="12">
                  <c:v>18000</c:v>
                </c:pt>
                <c:pt idx="13">
                  <c:v>18250</c:v>
                </c:pt>
                <c:pt idx="14">
                  <c:v>18500</c:v>
                </c:pt>
                <c:pt idx="15">
                  <c:v>18750</c:v>
                </c:pt>
                <c:pt idx="16">
                  <c:v>19000</c:v>
                </c:pt>
                <c:pt idx="17">
                  <c:v>19250</c:v>
                </c:pt>
                <c:pt idx="18">
                  <c:v>19500</c:v>
                </c:pt>
                <c:pt idx="19">
                  <c:v>19750</c:v>
                </c:pt>
                <c:pt idx="20">
                  <c:v>20000</c:v>
                </c:pt>
                <c:pt idx="21">
                  <c:v>20250</c:v>
                </c:pt>
                <c:pt idx="22">
                  <c:v>20500</c:v>
                </c:pt>
                <c:pt idx="23">
                  <c:v>20750</c:v>
                </c:pt>
                <c:pt idx="24">
                  <c:v>21000</c:v>
                </c:pt>
                <c:pt idx="25">
                  <c:v>21250</c:v>
                </c:pt>
                <c:pt idx="26">
                  <c:v>21500</c:v>
                </c:pt>
                <c:pt idx="27">
                  <c:v>21750</c:v>
                </c:pt>
                <c:pt idx="28">
                  <c:v>22000</c:v>
                </c:pt>
                <c:pt idx="29">
                  <c:v>22250</c:v>
                </c:pt>
                <c:pt idx="30">
                  <c:v>22500</c:v>
                </c:pt>
                <c:pt idx="31">
                  <c:v>22750</c:v>
                </c:pt>
                <c:pt idx="32">
                  <c:v>23000</c:v>
                </c:pt>
                <c:pt idx="33">
                  <c:v>23250</c:v>
                </c:pt>
                <c:pt idx="34">
                  <c:v>23500</c:v>
                </c:pt>
                <c:pt idx="35">
                  <c:v>23750</c:v>
                </c:pt>
                <c:pt idx="36">
                  <c:v>24000</c:v>
                </c:pt>
                <c:pt idx="37">
                  <c:v>24250</c:v>
                </c:pt>
                <c:pt idx="38">
                  <c:v>24500</c:v>
                </c:pt>
                <c:pt idx="39">
                  <c:v>24750</c:v>
                </c:pt>
                <c:pt idx="40">
                  <c:v>25000</c:v>
                </c:pt>
                <c:pt idx="41">
                  <c:v>25250</c:v>
                </c:pt>
                <c:pt idx="42">
                  <c:v>25500</c:v>
                </c:pt>
                <c:pt idx="43">
                  <c:v>25750</c:v>
                </c:pt>
                <c:pt idx="44">
                  <c:v>26000</c:v>
                </c:pt>
                <c:pt idx="45">
                  <c:v>26250</c:v>
                </c:pt>
                <c:pt idx="46">
                  <c:v>26500</c:v>
                </c:pt>
                <c:pt idx="47">
                  <c:v>26750</c:v>
                </c:pt>
                <c:pt idx="48">
                  <c:v>27000</c:v>
                </c:pt>
                <c:pt idx="49">
                  <c:v>27250</c:v>
                </c:pt>
                <c:pt idx="50">
                  <c:v>27500</c:v>
                </c:pt>
                <c:pt idx="51">
                  <c:v>27750</c:v>
                </c:pt>
                <c:pt idx="52">
                  <c:v>28000</c:v>
                </c:pt>
                <c:pt idx="53">
                  <c:v>28250</c:v>
                </c:pt>
              </c:numCache>
            </c:numRef>
          </c:cat>
          <c:val>
            <c:numRef>
              <c:f>MetalCurves!$L$94:$L$147</c:f>
              <c:numCache>
                <c:formatCode>0.00%</c:formatCode>
                <c:ptCount val="54"/>
                <c:pt idx="0">
                  <c:v>0.24914455759449061</c:v>
                </c:pt>
                <c:pt idx="1">
                  <c:v>0.24860495751345549</c:v>
                </c:pt>
                <c:pt idx="2">
                  <c:v>0.24777152500221816</c:v>
                </c:pt>
                <c:pt idx="3">
                  <c:v>0.24658990543315623</c:v>
                </c:pt>
                <c:pt idx="4">
                  <c:v>0.24504309825682391</c:v>
                </c:pt>
                <c:pt idx="5">
                  <c:v>0.2441432556587852</c:v>
                </c:pt>
                <c:pt idx="6">
                  <c:v>0.24317497116993259</c:v>
                </c:pt>
                <c:pt idx="7">
                  <c:v>0.24215877322591203</c:v>
                </c:pt>
                <c:pt idx="8">
                  <c:v>0.2411239363018996</c:v>
                </c:pt>
                <c:pt idx="9">
                  <c:v>0.24010979537033958</c:v>
                </c:pt>
                <c:pt idx="10">
                  <c:v>0.23916592362679606</c:v>
                </c:pt>
                <c:pt idx="11">
                  <c:v>0.23834968073339344</c:v>
                </c:pt>
                <c:pt idx="12">
                  <c:v>0.23771972046626152</c:v>
                </c:pt>
                <c:pt idx="13">
                  <c:v>0.23732633595222277</c:v>
                </c:pt>
                <c:pt idx="14">
                  <c:v>0.23720431567938935</c:v>
                </c:pt>
                <c:pt idx="15">
                  <c:v>0.2373761021025845</c:v>
                </c:pt>
                <c:pt idx="16">
                  <c:v>0.2378644973761069</c:v>
                </c:pt>
                <c:pt idx="17">
                  <c:v>0.23869986339697333</c:v>
                </c:pt>
                <c:pt idx="18">
                  <c:v>0.23990745454120779</c:v>
                </c:pt>
                <c:pt idx="19">
                  <c:v>0.2414828585795363</c:v>
                </c:pt>
                <c:pt idx="20">
                  <c:v>0.24338011593447587</c:v>
                </c:pt>
                <c:pt idx="21">
                  <c:v>0.24552319244318918</c:v>
                </c:pt>
                <c:pt idx="22">
                  <c:v>0.24782799337776668</c:v>
                </c:pt>
                <c:pt idx="23">
                  <c:v>0.25021913723331002</c:v>
                </c:pt>
                <c:pt idx="24">
                  <c:v>0.25263692191500187</c:v>
                </c:pt>
                <c:pt idx="25">
                  <c:v>0.25503752558503795</c:v>
                </c:pt>
                <c:pt idx="26">
                  <c:v>0.25739035811738947</c:v>
                </c:pt>
                <c:pt idx="27">
                  <c:v>0.25967488984372439</c:v>
                </c:pt>
                <c:pt idx="28">
                  <c:v>0.26187789365734793</c:v>
                </c:pt>
                <c:pt idx="29">
                  <c:v>0.26399131862855374</c:v>
                </c:pt>
                <c:pt idx="30">
                  <c:v>0.26601073856365709</c:v>
                </c:pt>
                <c:pt idx="31">
                  <c:v>0.26793424912725222</c:v>
                </c:pt>
                <c:pt idx="32">
                  <c:v>0.26976169264120597</c:v>
                </c:pt>
                <c:pt idx="33">
                  <c:v>0.27149411513543853</c:v>
                </c:pt>
                <c:pt idx="34">
                  <c:v>0.27313338589785446</c:v>
                </c:pt>
                <c:pt idx="35">
                  <c:v>0.27468193027954146</c:v>
                </c:pt>
                <c:pt idx="36">
                  <c:v>0.27614254150127654</c:v>
                </c:pt>
                <c:pt idx="37">
                  <c:v>0.27751824776794298</c:v>
                </c:pt>
                <c:pt idx="38">
                  <c:v>0.27881221825943908</c:v>
                </c:pt>
                <c:pt idx="39">
                  <c:v>0.2800276965818439</c:v>
                </c:pt>
                <c:pt idx="40">
                  <c:v>0.28116795368457387</c:v>
                </c:pt>
                <c:pt idx="41">
                  <c:v>0.28223625461458812</c:v>
                </c:pt>
                <c:pt idx="42">
                  <c:v>0.28323583511564182</c:v>
                </c:pt>
                <c:pt idx="43">
                  <c:v>0.28416988522341496</c:v>
                </c:pt>
                <c:pt idx="44">
                  <c:v>0.28504153781146641</c:v>
                </c:pt>
                <c:pt idx="45">
                  <c:v>0.28585386061447471</c:v>
                </c:pt>
                <c:pt idx="46">
                  <c:v>0.28660985066429767</c:v>
                </c:pt>
                <c:pt idx="47">
                  <c:v>0.28731243037175258</c:v>
                </c:pt>
                <c:pt idx="48">
                  <c:v>0.28796444470236943</c:v>
                </c:pt>
                <c:pt idx="49">
                  <c:v>0.28856865905797835</c:v>
                </c:pt>
                <c:pt idx="50">
                  <c:v>0.28912775759178327</c:v>
                </c:pt>
                <c:pt idx="51">
                  <c:v>0.2896443417777495</c:v>
                </c:pt>
                <c:pt idx="52">
                  <c:v>0.29012092912148085</c:v>
                </c:pt>
                <c:pt idx="53">
                  <c:v>0.29055995195142087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AB-4531-B328-594266C58081}"/>
            </c:ext>
          </c:extLst>
        </c:ser>
        <c:ser>
          <c:idx val="4"/>
          <c:order val="4"/>
          <c:tx>
            <c:strRef>
              <c:f>MetalCurves!$M$93</c:f>
              <c:strCache>
                <c:ptCount val="1"/>
                <c:pt idx="0">
                  <c:v>Basic2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MetalCurves!$H$94:$H$147</c:f>
              <c:numCache>
                <c:formatCode>_(* #,##0.00_);_(* \(#,##0.00\);_(* "-"??_);_(@_)</c:formatCode>
                <c:ptCount val="54"/>
                <c:pt idx="0">
                  <c:v>14000</c:v>
                </c:pt>
                <c:pt idx="1">
                  <c:v>14500</c:v>
                </c:pt>
                <c:pt idx="2">
                  <c:v>15000</c:v>
                </c:pt>
                <c:pt idx="3">
                  <c:v>15500</c:v>
                </c:pt>
                <c:pt idx="4">
                  <c:v>16000</c:v>
                </c:pt>
                <c:pt idx="5">
                  <c:v>16250</c:v>
                </c:pt>
                <c:pt idx="6">
                  <c:v>16500</c:v>
                </c:pt>
                <c:pt idx="7">
                  <c:v>16750</c:v>
                </c:pt>
                <c:pt idx="8">
                  <c:v>17000</c:v>
                </c:pt>
                <c:pt idx="9">
                  <c:v>17250</c:v>
                </c:pt>
                <c:pt idx="10">
                  <c:v>17500</c:v>
                </c:pt>
                <c:pt idx="11">
                  <c:v>17750</c:v>
                </c:pt>
                <c:pt idx="12">
                  <c:v>18000</c:v>
                </c:pt>
                <c:pt idx="13">
                  <c:v>18250</c:v>
                </c:pt>
                <c:pt idx="14">
                  <c:v>18500</c:v>
                </c:pt>
                <c:pt idx="15">
                  <c:v>18750</c:v>
                </c:pt>
                <c:pt idx="16">
                  <c:v>19000</c:v>
                </c:pt>
                <c:pt idx="17">
                  <c:v>19250</c:v>
                </c:pt>
                <c:pt idx="18">
                  <c:v>19500</c:v>
                </c:pt>
                <c:pt idx="19">
                  <c:v>19750</c:v>
                </c:pt>
                <c:pt idx="20">
                  <c:v>20000</c:v>
                </c:pt>
                <c:pt idx="21">
                  <c:v>20250</c:v>
                </c:pt>
                <c:pt idx="22">
                  <c:v>20500</c:v>
                </c:pt>
                <c:pt idx="23">
                  <c:v>20750</c:v>
                </c:pt>
                <c:pt idx="24">
                  <c:v>21000</c:v>
                </c:pt>
                <c:pt idx="25">
                  <c:v>21250</c:v>
                </c:pt>
                <c:pt idx="26">
                  <c:v>21500</c:v>
                </c:pt>
                <c:pt idx="27">
                  <c:v>21750</c:v>
                </c:pt>
                <c:pt idx="28">
                  <c:v>22000</c:v>
                </c:pt>
                <c:pt idx="29">
                  <c:v>22250</c:v>
                </c:pt>
                <c:pt idx="30">
                  <c:v>22500</c:v>
                </c:pt>
                <c:pt idx="31">
                  <c:v>22750</c:v>
                </c:pt>
                <c:pt idx="32">
                  <c:v>23000</c:v>
                </c:pt>
                <c:pt idx="33">
                  <c:v>23250</c:v>
                </c:pt>
                <c:pt idx="34">
                  <c:v>23500</c:v>
                </c:pt>
                <c:pt idx="35">
                  <c:v>23750</c:v>
                </c:pt>
                <c:pt idx="36">
                  <c:v>24000</c:v>
                </c:pt>
                <c:pt idx="37">
                  <c:v>24250</c:v>
                </c:pt>
                <c:pt idx="38">
                  <c:v>24500</c:v>
                </c:pt>
                <c:pt idx="39">
                  <c:v>24750</c:v>
                </c:pt>
                <c:pt idx="40">
                  <c:v>25000</c:v>
                </c:pt>
                <c:pt idx="41">
                  <c:v>25250</c:v>
                </c:pt>
                <c:pt idx="42">
                  <c:v>25500</c:v>
                </c:pt>
                <c:pt idx="43">
                  <c:v>25750</c:v>
                </c:pt>
                <c:pt idx="44">
                  <c:v>26000</c:v>
                </c:pt>
                <c:pt idx="45">
                  <c:v>26250</c:v>
                </c:pt>
                <c:pt idx="46">
                  <c:v>26500</c:v>
                </c:pt>
                <c:pt idx="47">
                  <c:v>26750</c:v>
                </c:pt>
                <c:pt idx="48">
                  <c:v>27000</c:v>
                </c:pt>
                <c:pt idx="49">
                  <c:v>27250</c:v>
                </c:pt>
                <c:pt idx="50">
                  <c:v>27500</c:v>
                </c:pt>
                <c:pt idx="51">
                  <c:v>27750</c:v>
                </c:pt>
                <c:pt idx="52">
                  <c:v>28000</c:v>
                </c:pt>
                <c:pt idx="53">
                  <c:v>28250</c:v>
                </c:pt>
              </c:numCache>
            </c:numRef>
          </c:cat>
          <c:val>
            <c:numRef>
              <c:f>MetalCurves!$M$94:$M$147</c:f>
              <c:numCache>
                <c:formatCode>0.00%</c:formatCode>
                <c:ptCount val="54"/>
                <c:pt idx="0">
                  <c:v>0.21577859373940933</c:v>
                </c:pt>
                <c:pt idx="1">
                  <c:v>0.21684483244069835</c:v>
                </c:pt>
                <c:pt idx="2">
                  <c:v>0.21860454894468684</c:v>
                </c:pt>
                <c:pt idx="3">
                  <c:v>0.22122675582842047</c:v>
                </c:pt>
                <c:pt idx="4">
                  <c:v>0.22466138195306984</c:v>
                </c:pt>
                <c:pt idx="5">
                  <c:v>0.22657212577862304</c:v>
                </c:pt>
                <c:pt idx="6">
                  <c:v>0.22851497984769426</c:v>
                </c:pt>
                <c:pt idx="7">
                  <c:v>0.23041105696635286</c:v>
                </c:pt>
                <c:pt idx="8">
                  <c:v>0.2321915778028088</c:v>
                </c:pt>
                <c:pt idx="9">
                  <c:v>0.23380786416559515</c:v>
                </c:pt>
                <c:pt idx="10">
                  <c:v>0.23523744953460607</c:v>
                </c:pt>
                <c:pt idx="11">
                  <c:v>0.23648678077876986</c:v>
                </c:pt>
                <c:pt idx="12">
                  <c:v>0.2375913114795983</c:v>
                </c:pt>
                <c:pt idx="13">
                  <c:v>0.23861299938354866</c:v>
                </c:pt>
                <c:pt idx="14">
                  <c:v>0.23963411973649151</c:v>
                </c:pt>
                <c:pt idx="15">
                  <c:v>0.24074597308691972</c:v>
                </c:pt>
                <c:pt idx="16">
                  <c:v>0.24203265655026551</c:v>
                </c:pt>
                <c:pt idx="17">
                  <c:v>0.24355366416680035</c:v>
                </c:pt>
                <c:pt idx="18">
                  <c:v>0.24533209254014499</c:v>
                </c:pt>
                <c:pt idx="19">
                  <c:v>0.24735376634340964</c:v>
                </c:pt>
                <c:pt idx="20">
                  <c:v>0.24957665527144113</c:v>
                </c:pt>
                <c:pt idx="21">
                  <c:v>0.25194477422761097</c:v>
                </c:pt>
                <c:pt idx="22">
                  <c:v>0.25440046835048225</c:v>
                </c:pt>
                <c:pt idx="23">
                  <c:v>0.25689216565939416</c:v>
                </c:pt>
                <c:pt idx="24">
                  <c:v>0.25937773859865898</c:v>
                </c:pt>
                <c:pt idx="25">
                  <c:v>0.26182493110827471</c:v>
                </c:pt>
                <c:pt idx="26">
                  <c:v>0.26421029847862265</c:v>
                </c:pt>
                <c:pt idx="27">
                  <c:v>0.26651762862991962</c:v>
                </c:pt>
                <c:pt idx="28">
                  <c:v>0.26873635693414183</c:v>
                </c:pt>
                <c:pt idx="29">
                  <c:v>0.27086018895629871</c:v>
                </c:pt>
                <c:pt idx="30">
                  <c:v>0.27288598705088485</c:v>
                </c:pt>
                <c:pt idx="31">
                  <c:v>0.27481290574471789</c:v>
                </c:pt>
                <c:pt idx="32">
                  <c:v>0.27664173602509734</c:v>
                </c:pt>
                <c:pt idx="33">
                  <c:v>0.27837441518040013</c:v>
                </c:pt>
                <c:pt idx="34">
                  <c:v>0.28001366374404385</c:v>
                </c:pt>
                <c:pt idx="35">
                  <c:v>0.28156271829381752</c:v>
                </c:pt>
                <c:pt idx="36">
                  <c:v>0.28302513582348693</c:v>
                </c:pt>
                <c:pt idx="37">
                  <c:v>0.28440465127277209</c:v>
                </c:pt>
                <c:pt idx="38">
                  <c:v>0.28570507443865278</c:v>
                </c:pt>
                <c:pt idx="39">
                  <c:v>0.28693021603132579</c:v>
                </c:pt>
                <c:pt idx="40">
                  <c:v>0.28808383529116705</c:v>
                </c:pt>
                <c:pt idx="41">
                  <c:v>0.28916960355133697</c:v>
                </c:pt>
                <c:pt idx="42">
                  <c:v>0.2901910795840445</c:v>
                </c:pt>
                <c:pt idx="43">
                  <c:v>0.29115169364109728</c:v>
                </c:pt>
                <c:pt idx="44">
                  <c:v>0.2920547378868843</c:v>
                </c:pt>
                <c:pt idx="45">
                  <c:v>0.29290336151393959</c:v>
                </c:pt>
                <c:pt idx="46">
                  <c:v>0.29370056925572169</c:v>
                </c:pt>
                <c:pt idx="47">
                  <c:v>0.29444922234158288</c:v>
                </c:pt>
                <c:pt idx="48">
                  <c:v>0.29515204117608723</c:v>
                </c:pt>
                <c:pt idx="49">
                  <c:v>0.29581160920659233</c:v>
                </c:pt>
                <c:pt idx="50">
                  <c:v>0.29643037757869906</c:v>
                </c:pt>
                <c:pt idx="51">
                  <c:v>0.29701067028162653</c:v>
                </c:pt>
                <c:pt idx="52">
                  <c:v>0.29755468956302739</c:v>
                </c:pt>
                <c:pt idx="53">
                  <c:v>0.29806452145151352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AB-4531-B328-594266C58081}"/>
            </c:ext>
          </c:extLst>
        </c:ser>
        <c:ser>
          <c:idx val="5"/>
          <c:order val="5"/>
          <c:tx>
            <c:strRef>
              <c:f>MetalCurves!$N$93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MetalCurves!$H$94:$H$147</c:f>
              <c:numCache>
                <c:formatCode>_(* #,##0.00_);_(* \(#,##0.00\);_(* "-"??_);_(@_)</c:formatCode>
                <c:ptCount val="54"/>
                <c:pt idx="0">
                  <c:v>14000</c:v>
                </c:pt>
                <c:pt idx="1">
                  <c:v>14500</c:v>
                </c:pt>
                <c:pt idx="2">
                  <c:v>15000</c:v>
                </c:pt>
                <c:pt idx="3">
                  <c:v>15500</c:v>
                </c:pt>
                <c:pt idx="4">
                  <c:v>16000</c:v>
                </c:pt>
                <c:pt idx="5">
                  <c:v>16250</c:v>
                </c:pt>
                <c:pt idx="6">
                  <c:v>16500</c:v>
                </c:pt>
                <c:pt idx="7">
                  <c:v>16750</c:v>
                </c:pt>
                <c:pt idx="8">
                  <c:v>17000</c:v>
                </c:pt>
                <c:pt idx="9">
                  <c:v>17250</c:v>
                </c:pt>
                <c:pt idx="10">
                  <c:v>17500</c:v>
                </c:pt>
                <c:pt idx="11">
                  <c:v>17750</c:v>
                </c:pt>
                <c:pt idx="12">
                  <c:v>18000</c:v>
                </c:pt>
                <c:pt idx="13">
                  <c:v>18250</c:v>
                </c:pt>
                <c:pt idx="14">
                  <c:v>18500</c:v>
                </c:pt>
                <c:pt idx="15">
                  <c:v>18750</c:v>
                </c:pt>
                <c:pt idx="16">
                  <c:v>19000</c:v>
                </c:pt>
                <c:pt idx="17">
                  <c:v>19250</c:v>
                </c:pt>
                <c:pt idx="18">
                  <c:v>19500</c:v>
                </c:pt>
                <c:pt idx="19">
                  <c:v>19750</c:v>
                </c:pt>
                <c:pt idx="20">
                  <c:v>20000</c:v>
                </c:pt>
                <c:pt idx="21">
                  <c:v>20250</c:v>
                </c:pt>
                <c:pt idx="22">
                  <c:v>20500</c:v>
                </c:pt>
                <c:pt idx="23">
                  <c:v>20750</c:v>
                </c:pt>
                <c:pt idx="24">
                  <c:v>21000</c:v>
                </c:pt>
                <c:pt idx="25">
                  <c:v>21250</c:v>
                </c:pt>
                <c:pt idx="26">
                  <c:v>21500</c:v>
                </c:pt>
                <c:pt idx="27">
                  <c:v>21750</c:v>
                </c:pt>
                <c:pt idx="28">
                  <c:v>22000</c:v>
                </c:pt>
                <c:pt idx="29">
                  <c:v>22250</c:v>
                </c:pt>
                <c:pt idx="30">
                  <c:v>22500</c:v>
                </c:pt>
                <c:pt idx="31">
                  <c:v>22750</c:v>
                </c:pt>
                <c:pt idx="32">
                  <c:v>23000</c:v>
                </c:pt>
                <c:pt idx="33">
                  <c:v>23250</c:v>
                </c:pt>
                <c:pt idx="34">
                  <c:v>23500</c:v>
                </c:pt>
                <c:pt idx="35">
                  <c:v>23750</c:v>
                </c:pt>
                <c:pt idx="36">
                  <c:v>24000</c:v>
                </c:pt>
                <c:pt idx="37">
                  <c:v>24250</c:v>
                </c:pt>
                <c:pt idx="38">
                  <c:v>24500</c:v>
                </c:pt>
                <c:pt idx="39">
                  <c:v>24750</c:v>
                </c:pt>
                <c:pt idx="40">
                  <c:v>25000</c:v>
                </c:pt>
                <c:pt idx="41">
                  <c:v>25250</c:v>
                </c:pt>
                <c:pt idx="42">
                  <c:v>25500</c:v>
                </c:pt>
                <c:pt idx="43">
                  <c:v>25750</c:v>
                </c:pt>
                <c:pt idx="44">
                  <c:v>26000</c:v>
                </c:pt>
                <c:pt idx="45">
                  <c:v>26250</c:v>
                </c:pt>
                <c:pt idx="46">
                  <c:v>26500</c:v>
                </c:pt>
                <c:pt idx="47">
                  <c:v>26750</c:v>
                </c:pt>
                <c:pt idx="48">
                  <c:v>27000</c:v>
                </c:pt>
                <c:pt idx="49">
                  <c:v>27250</c:v>
                </c:pt>
                <c:pt idx="50">
                  <c:v>27500</c:v>
                </c:pt>
                <c:pt idx="51">
                  <c:v>27750</c:v>
                </c:pt>
                <c:pt idx="52">
                  <c:v>28000</c:v>
                </c:pt>
                <c:pt idx="53">
                  <c:v>28250</c:v>
                </c:pt>
              </c:numCache>
            </c:numRef>
          </c:cat>
          <c:val>
            <c:numRef>
              <c:f>MetalCurves!$N$94:$N$147</c:f>
              <c:numCache>
                <c:formatCode>0.00%</c:formatCode>
                <c:ptCount val="54"/>
                <c:pt idx="0">
                  <c:v>5.0000000001257305</c:v>
                </c:pt>
                <c:pt idx="1">
                  <c:v>5.0000000001256399</c:v>
                </c:pt>
                <c:pt idx="2">
                  <c:v>5.0000000001255467</c:v>
                </c:pt>
                <c:pt idx="3">
                  <c:v>5.0000000001254579</c:v>
                </c:pt>
                <c:pt idx="4">
                  <c:v>5.000000000125369</c:v>
                </c:pt>
                <c:pt idx="5">
                  <c:v>5.0000000001253255</c:v>
                </c:pt>
                <c:pt idx="6">
                  <c:v>5.000000000125282</c:v>
                </c:pt>
                <c:pt idx="7">
                  <c:v>5.0000000001252394</c:v>
                </c:pt>
                <c:pt idx="8">
                  <c:v>5.0000000001251959</c:v>
                </c:pt>
                <c:pt idx="9">
                  <c:v>5.0000000001251532</c:v>
                </c:pt>
                <c:pt idx="10">
                  <c:v>5.0000000001251124</c:v>
                </c:pt>
                <c:pt idx="11">
                  <c:v>5.0000000001250706</c:v>
                </c:pt>
                <c:pt idx="12">
                  <c:v>5.0000000001250298</c:v>
                </c:pt>
                <c:pt idx="13">
                  <c:v>5.0000000001249871</c:v>
                </c:pt>
                <c:pt idx="14">
                  <c:v>5.0000000001249472</c:v>
                </c:pt>
                <c:pt idx="15">
                  <c:v>5.0000000001249063</c:v>
                </c:pt>
                <c:pt idx="16">
                  <c:v>5.0000000001248672</c:v>
                </c:pt>
                <c:pt idx="17">
                  <c:v>5.0000000001248264</c:v>
                </c:pt>
                <c:pt idx="18">
                  <c:v>5.0000000001247864</c:v>
                </c:pt>
                <c:pt idx="19">
                  <c:v>5.0000000001247482</c:v>
                </c:pt>
                <c:pt idx="20">
                  <c:v>5.0000000001247074</c:v>
                </c:pt>
                <c:pt idx="21">
                  <c:v>5.0000000001246692</c:v>
                </c:pt>
                <c:pt idx="22">
                  <c:v>5.000000000124631</c:v>
                </c:pt>
                <c:pt idx="23">
                  <c:v>5.0000000001245919</c:v>
                </c:pt>
                <c:pt idx="24">
                  <c:v>5.0000000001245537</c:v>
                </c:pt>
                <c:pt idx="25">
                  <c:v>5.0000000001245155</c:v>
                </c:pt>
                <c:pt idx="26">
                  <c:v>5.0000000001244773</c:v>
                </c:pt>
                <c:pt idx="27">
                  <c:v>5.00000000012444</c:v>
                </c:pt>
                <c:pt idx="28">
                  <c:v>5.0000000001244018</c:v>
                </c:pt>
                <c:pt idx="29">
                  <c:v>5.0000000001243654</c:v>
                </c:pt>
                <c:pt idx="30">
                  <c:v>5.0000000001243308</c:v>
                </c:pt>
                <c:pt idx="31">
                  <c:v>5.0000000001242917</c:v>
                </c:pt>
                <c:pt idx="32">
                  <c:v>5.0000000001242553</c:v>
                </c:pt>
                <c:pt idx="33">
                  <c:v>5.0000000001242197</c:v>
                </c:pt>
                <c:pt idx="34">
                  <c:v>5.0000000001241833</c:v>
                </c:pt>
                <c:pt idx="35">
                  <c:v>5.0000000001241469</c:v>
                </c:pt>
                <c:pt idx="36">
                  <c:v>5.0000000001241105</c:v>
                </c:pt>
                <c:pt idx="37">
                  <c:v>5.0000000001240767</c:v>
                </c:pt>
                <c:pt idx="38">
                  <c:v>5.0000000001240403</c:v>
                </c:pt>
                <c:pt idx="39">
                  <c:v>5.0000000001240057</c:v>
                </c:pt>
                <c:pt idx="40">
                  <c:v>5.0000000001239711</c:v>
                </c:pt>
                <c:pt idx="41">
                  <c:v>5.0000000001239364</c:v>
                </c:pt>
                <c:pt idx="42">
                  <c:v>5.0000000001239027</c:v>
                </c:pt>
                <c:pt idx="43">
                  <c:v>5.0000000001238663</c:v>
                </c:pt>
                <c:pt idx="44">
                  <c:v>5.0000000001238334</c:v>
                </c:pt>
                <c:pt idx="45">
                  <c:v>5.0000000001237987</c:v>
                </c:pt>
                <c:pt idx="46">
                  <c:v>5.0000000001237641</c:v>
                </c:pt>
                <c:pt idx="47">
                  <c:v>5.0000000001237321</c:v>
                </c:pt>
                <c:pt idx="48">
                  <c:v>5.0000000001236984</c:v>
                </c:pt>
                <c:pt idx="49">
                  <c:v>5.0000000001236655</c:v>
                </c:pt>
                <c:pt idx="50">
                  <c:v>5.0000000001236309</c:v>
                </c:pt>
                <c:pt idx="51">
                  <c:v>5.000000000123598</c:v>
                </c:pt>
                <c:pt idx="52">
                  <c:v>5.0000000001235634</c:v>
                </c:pt>
                <c:pt idx="53">
                  <c:v>5.0000000001235314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02-4931-9E41-1F3327255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9754784"/>
        <c:axId val="1358093512"/>
      </c:lineChart>
      <c:catAx>
        <c:axId val="1499754784"/>
        <c:scaling>
          <c:orientation val="minMax"/>
        </c:scaling>
        <c:delete val="0"/>
        <c:axPos val="b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093512"/>
        <c:crosses val="autoZero"/>
        <c:auto val="1"/>
        <c:lblAlgn val="ctr"/>
        <c:lblOffset val="100"/>
        <c:tickLblSkip val="4"/>
        <c:noMultiLvlLbl val="0"/>
      </c:catAx>
      <c:valAx>
        <c:axId val="1358093512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75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MetalCurves!$O$94:$O$159</c:f>
              <c:numCache>
                <c:formatCode>_(* #,##0.00_);_(* \(#,##0.00\);_(* "-"??_);_(@_)</c:formatCode>
                <c:ptCount val="66"/>
                <c:pt idx="0">
                  <c:v>5000</c:v>
                </c:pt>
                <c:pt idx="1">
                  <c:v>6000</c:v>
                </c:pt>
                <c:pt idx="2">
                  <c:v>7000</c:v>
                </c:pt>
                <c:pt idx="3">
                  <c:v>8000</c:v>
                </c:pt>
                <c:pt idx="4">
                  <c:v>9000</c:v>
                </c:pt>
                <c:pt idx="5">
                  <c:v>10000</c:v>
                </c:pt>
                <c:pt idx="6">
                  <c:v>11000</c:v>
                </c:pt>
                <c:pt idx="7">
                  <c:v>12000</c:v>
                </c:pt>
                <c:pt idx="8">
                  <c:v>12500</c:v>
                </c:pt>
                <c:pt idx="9">
                  <c:v>13000</c:v>
                </c:pt>
                <c:pt idx="10">
                  <c:v>13500</c:v>
                </c:pt>
                <c:pt idx="11">
                  <c:v>14000</c:v>
                </c:pt>
                <c:pt idx="12">
                  <c:v>14500</c:v>
                </c:pt>
                <c:pt idx="13">
                  <c:v>14750</c:v>
                </c:pt>
                <c:pt idx="14">
                  <c:v>15000</c:v>
                </c:pt>
                <c:pt idx="15">
                  <c:v>15250</c:v>
                </c:pt>
                <c:pt idx="16">
                  <c:v>15500</c:v>
                </c:pt>
                <c:pt idx="17">
                  <c:v>15750</c:v>
                </c:pt>
                <c:pt idx="18">
                  <c:v>16000</c:v>
                </c:pt>
                <c:pt idx="19">
                  <c:v>16250</c:v>
                </c:pt>
                <c:pt idx="20">
                  <c:v>16500</c:v>
                </c:pt>
                <c:pt idx="21">
                  <c:v>16750</c:v>
                </c:pt>
                <c:pt idx="22">
                  <c:v>17000</c:v>
                </c:pt>
                <c:pt idx="23">
                  <c:v>17250</c:v>
                </c:pt>
                <c:pt idx="24">
                  <c:v>17500</c:v>
                </c:pt>
                <c:pt idx="25">
                  <c:v>17750</c:v>
                </c:pt>
                <c:pt idx="26">
                  <c:v>18000</c:v>
                </c:pt>
                <c:pt idx="27">
                  <c:v>18250</c:v>
                </c:pt>
                <c:pt idx="28">
                  <c:v>18500</c:v>
                </c:pt>
                <c:pt idx="29">
                  <c:v>18750</c:v>
                </c:pt>
                <c:pt idx="30">
                  <c:v>19000</c:v>
                </c:pt>
                <c:pt idx="31">
                  <c:v>19250</c:v>
                </c:pt>
                <c:pt idx="32">
                  <c:v>19500</c:v>
                </c:pt>
                <c:pt idx="33">
                  <c:v>19750</c:v>
                </c:pt>
                <c:pt idx="34">
                  <c:v>20000</c:v>
                </c:pt>
                <c:pt idx="35">
                  <c:v>20250</c:v>
                </c:pt>
                <c:pt idx="36">
                  <c:v>20500</c:v>
                </c:pt>
                <c:pt idx="37">
                  <c:v>20750</c:v>
                </c:pt>
                <c:pt idx="38">
                  <c:v>21000</c:v>
                </c:pt>
                <c:pt idx="39">
                  <c:v>21250</c:v>
                </c:pt>
                <c:pt idx="40">
                  <c:v>21500</c:v>
                </c:pt>
                <c:pt idx="41">
                  <c:v>22000</c:v>
                </c:pt>
                <c:pt idx="42">
                  <c:v>22500</c:v>
                </c:pt>
                <c:pt idx="43">
                  <c:v>23000</c:v>
                </c:pt>
                <c:pt idx="44">
                  <c:v>23500</c:v>
                </c:pt>
                <c:pt idx="45">
                  <c:v>24000</c:v>
                </c:pt>
                <c:pt idx="46">
                  <c:v>24500</c:v>
                </c:pt>
                <c:pt idx="47">
                  <c:v>25000</c:v>
                </c:pt>
                <c:pt idx="48">
                  <c:v>25500</c:v>
                </c:pt>
                <c:pt idx="49">
                  <c:v>26000</c:v>
                </c:pt>
                <c:pt idx="50">
                  <c:v>26500</c:v>
                </c:pt>
                <c:pt idx="51">
                  <c:v>27000</c:v>
                </c:pt>
                <c:pt idx="52">
                  <c:v>27500</c:v>
                </c:pt>
                <c:pt idx="53">
                  <c:v>28000</c:v>
                </c:pt>
                <c:pt idx="54">
                  <c:v>28500</c:v>
                </c:pt>
                <c:pt idx="55">
                  <c:v>29000</c:v>
                </c:pt>
                <c:pt idx="56">
                  <c:v>30000</c:v>
                </c:pt>
                <c:pt idx="57">
                  <c:v>31000</c:v>
                </c:pt>
                <c:pt idx="58">
                  <c:v>32000</c:v>
                </c:pt>
                <c:pt idx="59">
                  <c:v>33000</c:v>
                </c:pt>
                <c:pt idx="60">
                  <c:v>34000</c:v>
                </c:pt>
                <c:pt idx="61">
                  <c:v>35000</c:v>
                </c:pt>
                <c:pt idx="62">
                  <c:v>36000</c:v>
                </c:pt>
                <c:pt idx="63">
                  <c:v>38000</c:v>
                </c:pt>
                <c:pt idx="64">
                  <c:v>40000</c:v>
                </c:pt>
                <c:pt idx="65">
                  <c:v>42000</c:v>
                </c:pt>
              </c:numCache>
            </c:numRef>
          </c:xVal>
          <c:yVal>
            <c:numRef>
              <c:f>MetalCurves!$Q$94:$Q$159</c:f>
              <c:numCache>
                <c:formatCode>0.00%</c:formatCode>
                <c:ptCount val="66"/>
                <c:pt idx="0">
                  <c:v>2.749528821783421E-16</c:v>
                </c:pt>
                <c:pt idx="1">
                  <c:v>2.7495288217830433E-16</c:v>
                </c:pt>
                <c:pt idx="2">
                  <c:v>2.7495288217826652E-16</c:v>
                </c:pt>
                <c:pt idx="3">
                  <c:v>2.749528821782287E-16</c:v>
                </c:pt>
                <c:pt idx="4">
                  <c:v>2.7495288217819093E-16</c:v>
                </c:pt>
                <c:pt idx="5">
                  <c:v>2.7495288217815312E-16</c:v>
                </c:pt>
                <c:pt idx="6">
                  <c:v>2.749528821781153E-16</c:v>
                </c:pt>
                <c:pt idx="7">
                  <c:v>2.7495288217807753E-16</c:v>
                </c:pt>
                <c:pt idx="8">
                  <c:v>2.749528821780586E-16</c:v>
                </c:pt>
                <c:pt idx="9">
                  <c:v>2.7495288217803972E-16</c:v>
                </c:pt>
                <c:pt idx="10">
                  <c:v>2.7495288217802083E-16</c:v>
                </c:pt>
                <c:pt idx="11">
                  <c:v>2.749528821780019E-16</c:v>
                </c:pt>
                <c:pt idx="12">
                  <c:v>2.7495288217798302E-16</c:v>
                </c:pt>
                <c:pt idx="13">
                  <c:v>2.7495288217797355E-16</c:v>
                </c:pt>
                <c:pt idx="14">
                  <c:v>2.7495288217796414E-16</c:v>
                </c:pt>
                <c:pt idx="15">
                  <c:v>2.7495288217795467E-16</c:v>
                </c:pt>
                <c:pt idx="16">
                  <c:v>2.749528821779452E-16</c:v>
                </c:pt>
                <c:pt idx="17">
                  <c:v>2.7495288217793579E-16</c:v>
                </c:pt>
                <c:pt idx="18">
                  <c:v>2.7495288217792632E-16</c:v>
                </c:pt>
                <c:pt idx="19">
                  <c:v>2.7495288217791685E-16</c:v>
                </c:pt>
                <c:pt idx="20">
                  <c:v>2.7495288217790744E-16</c:v>
                </c:pt>
                <c:pt idx="21">
                  <c:v>2.7495288217789797E-16</c:v>
                </c:pt>
                <c:pt idx="22">
                  <c:v>2.749528821778885E-16</c:v>
                </c:pt>
                <c:pt idx="23">
                  <c:v>2.7495288217787909E-16</c:v>
                </c:pt>
                <c:pt idx="24">
                  <c:v>2.7495288217786962E-16</c:v>
                </c:pt>
                <c:pt idx="25">
                  <c:v>2.7495288217786015E-16</c:v>
                </c:pt>
                <c:pt idx="26">
                  <c:v>2.7495288217785074E-16</c:v>
                </c:pt>
                <c:pt idx="27">
                  <c:v>2.7495288217784127E-16</c:v>
                </c:pt>
                <c:pt idx="28">
                  <c:v>2.749528821778318E-16</c:v>
                </c:pt>
                <c:pt idx="29">
                  <c:v>2.7495288217782239E-16</c:v>
                </c:pt>
                <c:pt idx="30">
                  <c:v>2.7495288217781292E-16</c:v>
                </c:pt>
                <c:pt idx="31">
                  <c:v>2.7495288217780345E-16</c:v>
                </c:pt>
                <c:pt idx="32">
                  <c:v>2.7495288217779404E-16</c:v>
                </c:pt>
                <c:pt idx="33">
                  <c:v>2.7495288217778457E-16</c:v>
                </c:pt>
                <c:pt idx="34">
                  <c:v>2.749528821777751E-16</c:v>
                </c:pt>
                <c:pt idx="35">
                  <c:v>2.7495288217776569E-16</c:v>
                </c:pt>
                <c:pt idx="36">
                  <c:v>2.7495288217775622E-16</c:v>
                </c:pt>
                <c:pt idx="37">
                  <c:v>2.7495288217774676E-16</c:v>
                </c:pt>
                <c:pt idx="38">
                  <c:v>2.7495288217773734E-16</c:v>
                </c:pt>
                <c:pt idx="39">
                  <c:v>2.7495288217772787E-16</c:v>
                </c:pt>
                <c:pt idx="40">
                  <c:v>2.7495288217771841E-16</c:v>
                </c:pt>
                <c:pt idx="41">
                  <c:v>2.7495288217769952E-16</c:v>
                </c:pt>
                <c:pt idx="42">
                  <c:v>2.7495288217768064E-16</c:v>
                </c:pt>
                <c:pt idx="43">
                  <c:v>2.7495288217766171E-16</c:v>
                </c:pt>
                <c:pt idx="44">
                  <c:v>2.7495288217764282E-16</c:v>
                </c:pt>
                <c:pt idx="45">
                  <c:v>2.7495288217762394E-16</c:v>
                </c:pt>
                <c:pt idx="46">
                  <c:v>2.7495288217760501E-16</c:v>
                </c:pt>
                <c:pt idx="47">
                  <c:v>2.7495288217758612E-16</c:v>
                </c:pt>
                <c:pt idx="48">
                  <c:v>2.7495288217756724E-16</c:v>
                </c:pt>
                <c:pt idx="49">
                  <c:v>2.7495288217754831E-16</c:v>
                </c:pt>
                <c:pt idx="50">
                  <c:v>2.7495288217752942E-16</c:v>
                </c:pt>
                <c:pt idx="51">
                  <c:v>2.7495288217751054E-16</c:v>
                </c:pt>
                <c:pt idx="52">
                  <c:v>2.7495288217749161E-16</c:v>
                </c:pt>
                <c:pt idx="53">
                  <c:v>2.7495288217747272E-16</c:v>
                </c:pt>
                <c:pt idx="54">
                  <c:v>2.7495288217745384E-16</c:v>
                </c:pt>
                <c:pt idx="55">
                  <c:v>2.7495288217743491E-16</c:v>
                </c:pt>
                <c:pt idx="56">
                  <c:v>2.7495288217739714E-16</c:v>
                </c:pt>
                <c:pt idx="57">
                  <c:v>2.7495288217735933E-16</c:v>
                </c:pt>
                <c:pt idx="58">
                  <c:v>2.7495288217732151E-16</c:v>
                </c:pt>
                <c:pt idx="59">
                  <c:v>2.7495288217728374E-16</c:v>
                </c:pt>
                <c:pt idx="60">
                  <c:v>2.7495288217724593E-16</c:v>
                </c:pt>
                <c:pt idx="61">
                  <c:v>2.7495288217720811E-16</c:v>
                </c:pt>
                <c:pt idx="62">
                  <c:v>2.7495288217717034E-16</c:v>
                </c:pt>
                <c:pt idx="63">
                  <c:v>2.7495288217709471E-16</c:v>
                </c:pt>
                <c:pt idx="64">
                  <c:v>2.7495288217701913E-16</c:v>
                </c:pt>
                <c:pt idx="65">
                  <c:v>2.7495288217694355E-16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23-4078-B48D-4C6D8E70C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9008848"/>
        <c:axId val="1359010488"/>
      </c:scatterChart>
      <c:valAx>
        <c:axId val="135900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010488"/>
        <c:crosses val="autoZero"/>
        <c:crossBetween val="midCat"/>
      </c:valAx>
      <c:valAx>
        <c:axId val="1359010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00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95</xdr:row>
      <xdr:rowOff>152400</xdr:rowOff>
    </xdr:from>
    <xdr:to>
      <xdr:col>7</xdr:col>
      <xdr:colOff>314325</xdr:colOff>
      <xdr:row>118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807688-431C-4E14-97C7-84071D888A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533399</xdr:colOff>
      <xdr:row>117</xdr:row>
      <xdr:rowOff>95250</xdr:rowOff>
    </xdr:from>
    <xdr:to>
      <xdr:col>18</xdr:col>
      <xdr:colOff>857249</xdr:colOff>
      <xdr:row>139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AFA658-BFA6-4D58-AEED-7588974AFC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Risk%20Management%20Sheets\Base%20Metals\04_Base_Risk_Analysi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. Net Risk"/>
      <sheetName val="ia. Time Bucket Report"/>
      <sheetName val="ib. Delta Matrices"/>
      <sheetName val="ii. Swaps Summary"/>
      <sheetName val="iii. Options Summary"/>
      <sheetName val="iv. Com Forwards Summary"/>
      <sheetName val="ivb. Futures Summary"/>
      <sheetName val="v. Forwards Summary"/>
      <sheetName val="vi. Funding Summary"/>
      <sheetName val="vii. IRS Summary"/>
      <sheetName val="Curve Delta"/>
      <sheetName val="viii. FX Options Summary"/>
      <sheetName val="ix. XCCY Swaps"/>
      <sheetName val="Scratch Pad"/>
      <sheetName val="Volatility Rand Curves"/>
      <sheetName val="Product Curves"/>
      <sheetName val="Product Rand Curves"/>
      <sheetName val="Volatility Curves"/>
      <sheetName val="Other Curves"/>
      <sheetName val="Config Sheet"/>
      <sheetName val="BA325"/>
    </sheetNames>
    <sheetDataSet>
      <sheetData sheetId="0">
        <row r="6">
          <cell r="C6">
            <v>43444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7">
          <cell r="O7">
            <v>41275</v>
          </cell>
        </row>
        <row r="8">
          <cell r="O8">
            <v>41354</v>
          </cell>
        </row>
        <row r="9">
          <cell r="O9">
            <v>41362</v>
          </cell>
        </row>
        <row r="10">
          <cell r="O10">
            <v>41365</v>
          </cell>
        </row>
        <row r="11">
          <cell r="O11">
            <v>41395</v>
          </cell>
        </row>
        <row r="12">
          <cell r="O12">
            <v>41442</v>
          </cell>
        </row>
        <row r="13">
          <cell r="O13">
            <v>41495</v>
          </cell>
        </row>
        <row r="14">
          <cell r="O14">
            <v>41541</v>
          </cell>
        </row>
        <row r="15">
          <cell r="O15">
            <v>41624</v>
          </cell>
        </row>
        <row r="16">
          <cell r="O16">
            <v>41633</v>
          </cell>
        </row>
        <row r="17">
          <cell r="O17">
            <v>41634</v>
          </cell>
        </row>
        <row r="18">
          <cell r="O18">
            <v>41640</v>
          </cell>
        </row>
        <row r="19">
          <cell r="O19">
            <v>41719</v>
          </cell>
        </row>
        <row r="20">
          <cell r="O20">
            <v>41747</v>
          </cell>
        </row>
        <row r="21">
          <cell r="O21">
            <v>41750</v>
          </cell>
        </row>
        <row r="22">
          <cell r="O22">
            <v>41757</v>
          </cell>
        </row>
        <row r="23">
          <cell r="O23">
            <v>41760</v>
          </cell>
        </row>
        <row r="24">
          <cell r="O24">
            <v>41806</v>
          </cell>
        </row>
        <row r="25">
          <cell r="O25">
            <v>41906</v>
          </cell>
        </row>
        <row r="26">
          <cell r="O26">
            <v>41989</v>
          </cell>
        </row>
        <row r="27">
          <cell r="O27">
            <v>41998</v>
          </cell>
        </row>
        <row r="28">
          <cell r="O28">
            <v>41999</v>
          </cell>
        </row>
        <row r="29">
          <cell r="O29">
            <v>42005</v>
          </cell>
        </row>
        <row r="30">
          <cell r="O30">
            <v>42097</v>
          </cell>
        </row>
        <row r="31">
          <cell r="O31">
            <v>42100</v>
          </cell>
        </row>
        <row r="32">
          <cell r="O32">
            <v>42121</v>
          </cell>
        </row>
        <row r="33">
          <cell r="O33">
            <v>42125</v>
          </cell>
        </row>
        <row r="34">
          <cell r="O34">
            <v>42171</v>
          </cell>
        </row>
        <row r="35">
          <cell r="O35">
            <v>42226</v>
          </cell>
        </row>
        <row r="36">
          <cell r="O36">
            <v>42271</v>
          </cell>
        </row>
        <row r="37">
          <cell r="O37">
            <v>42354</v>
          </cell>
        </row>
        <row r="38">
          <cell r="O38">
            <v>42363</v>
          </cell>
        </row>
        <row r="39">
          <cell r="O39">
            <v>42370</v>
          </cell>
        </row>
        <row r="40">
          <cell r="O40">
            <v>42450</v>
          </cell>
        </row>
        <row r="41">
          <cell r="O41">
            <v>42454</v>
          </cell>
        </row>
        <row r="42">
          <cell r="O42">
            <v>42457</v>
          </cell>
        </row>
        <row r="43">
          <cell r="O43">
            <v>42487</v>
          </cell>
        </row>
        <row r="44">
          <cell r="O44">
            <v>42492</v>
          </cell>
        </row>
        <row r="45">
          <cell r="O45">
            <v>42537</v>
          </cell>
        </row>
        <row r="46">
          <cell r="O46">
            <v>42591</v>
          </cell>
        </row>
        <row r="47">
          <cell r="O47">
            <v>42720</v>
          </cell>
        </row>
        <row r="48">
          <cell r="O48">
            <v>42730</v>
          </cell>
        </row>
        <row r="49">
          <cell r="O49">
            <v>42737</v>
          </cell>
        </row>
        <row r="50">
          <cell r="O50">
            <v>42815</v>
          </cell>
        </row>
        <row r="51">
          <cell r="O51">
            <v>42839</v>
          </cell>
        </row>
        <row r="52">
          <cell r="O52">
            <v>42842</v>
          </cell>
        </row>
        <row r="53">
          <cell r="O53">
            <v>42852</v>
          </cell>
        </row>
        <row r="54">
          <cell r="O54">
            <v>42856</v>
          </cell>
        </row>
        <row r="55">
          <cell r="O55">
            <v>42902</v>
          </cell>
        </row>
        <row r="56">
          <cell r="O56">
            <v>42956</v>
          </cell>
        </row>
        <row r="57">
          <cell r="O57">
            <v>43003</v>
          </cell>
        </row>
        <row r="58">
          <cell r="O58">
            <v>43094</v>
          </cell>
        </row>
        <row r="59">
          <cell r="O59">
            <v>43095</v>
          </cell>
        </row>
        <row r="60">
          <cell r="O60">
            <v>43101</v>
          </cell>
        </row>
        <row r="61">
          <cell r="O61">
            <v>43180</v>
          </cell>
        </row>
        <row r="62">
          <cell r="O62">
            <v>43189</v>
          </cell>
        </row>
        <row r="63">
          <cell r="O63">
            <v>43192</v>
          </cell>
        </row>
        <row r="64">
          <cell r="O64">
            <v>43217</v>
          </cell>
        </row>
        <row r="65">
          <cell r="O65">
            <v>43221</v>
          </cell>
        </row>
        <row r="66">
          <cell r="O66">
            <v>43321</v>
          </cell>
        </row>
        <row r="67">
          <cell r="O67">
            <v>43367</v>
          </cell>
        </row>
        <row r="68">
          <cell r="O68">
            <v>43451</v>
          </cell>
        </row>
        <row r="69">
          <cell r="O69">
            <v>43459</v>
          </cell>
        </row>
        <row r="70">
          <cell r="O70">
            <v>43460</v>
          </cell>
        </row>
        <row r="71">
          <cell r="O71">
            <v>43466</v>
          </cell>
        </row>
        <row r="72">
          <cell r="O72">
            <v>43545</v>
          </cell>
        </row>
        <row r="73">
          <cell r="O73">
            <v>43574</v>
          </cell>
        </row>
        <row r="74">
          <cell r="O74">
            <v>43577</v>
          </cell>
        </row>
        <row r="75">
          <cell r="O75">
            <v>43586</v>
          </cell>
        </row>
        <row r="76">
          <cell r="O76">
            <v>43633</v>
          </cell>
        </row>
        <row r="77">
          <cell r="O77">
            <v>43686</v>
          </cell>
        </row>
        <row r="78">
          <cell r="O78">
            <v>43732</v>
          </cell>
        </row>
        <row r="79">
          <cell r="O79">
            <v>43815</v>
          </cell>
        </row>
        <row r="80">
          <cell r="O80">
            <v>43824</v>
          </cell>
        </row>
        <row r="81">
          <cell r="O81">
            <v>43825</v>
          </cell>
        </row>
        <row r="82">
          <cell r="O82">
            <v>43831</v>
          </cell>
        </row>
        <row r="83">
          <cell r="O83">
            <v>43931</v>
          </cell>
        </row>
        <row r="84">
          <cell r="O84">
            <v>43934</v>
          </cell>
        </row>
        <row r="85">
          <cell r="O85">
            <v>43948</v>
          </cell>
        </row>
        <row r="86">
          <cell r="O86">
            <v>43952</v>
          </cell>
        </row>
        <row r="87">
          <cell r="O87">
            <v>43998</v>
          </cell>
        </row>
        <row r="88">
          <cell r="O88">
            <v>44053</v>
          </cell>
        </row>
        <row r="89">
          <cell r="O89">
            <v>44098</v>
          </cell>
        </row>
        <row r="90">
          <cell r="O90">
            <v>44181</v>
          </cell>
        </row>
        <row r="91">
          <cell r="O91">
            <v>44190</v>
          </cell>
        </row>
        <row r="92">
          <cell r="O92">
            <v>44197</v>
          </cell>
        </row>
        <row r="93">
          <cell r="O93">
            <v>44277</v>
          </cell>
        </row>
        <row r="94">
          <cell r="O94">
            <v>44288</v>
          </cell>
        </row>
        <row r="95">
          <cell r="O95">
            <v>44291</v>
          </cell>
        </row>
        <row r="96">
          <cell r="O96">
            <v>44313</v>
          </cell>
        </row>
        <row r="97">
          <cell r="O97">
            <v>44363</v>
          </cell>
        </row>
        <row r="98">
          <cell r="O98">
            <v>44417</v>
          </cell>
        </row>
        <row r="99">
          <cell r="O99">
            <v>44463</v>
          </cell>
        </row>
        <row r="100">
          <cell r="O100">
            <v>44546</v>
          </cell>
        </row>
        <row r="101">
          <cell r="O101">
            <v>44557</v>
          </cell>
        </row>
        <row r="102">
          <cell r="O102">
            <v>44641</v>
          </cell>
        </row>
        <row r="103">
          <cell r="O103">
            <v>44666</v>
          </cell>
        </row>
        <row r="104">
          <cell r="O104">
            <v>44669</v>
          </cell>
        </row>
        <row r="105">
          <cell r="O105">
            <v>44678</v>
          </cell>
        </row>
        <row r="106">
          <cell r="O106">
            <v>44683</v>
          </cell>
        </row>
        <row r="107">
          <cell r="O107">
            <v>44728</v>
          </cell>
        </row>
        <row r="108">
          <cell r="O108">
            <v>44782</v>
          </cell>
        </row>
        <row r="109">
          <cell r="O109">
            <v>44911</v>
          </cell>
        </row>
        <row r="110">
          <cell r="O110">
            <v>44921</v>
          </cell>
        </row>
        <row r="111">
          <cell r="O111">
            <v>44928</v>
          </cell>
        </row>
        <row r="112">
          <cell r="O112">
            <v>45006</v>
          </cell>
        </row>
        <row r="113">
          <cell r="O113">
            <v>45023</v>
          </cell>
        </row>
        <row r="114">
          <cell r="O114">
            <v>45026</v>
          </cell>
        </row>
        <row r="115">
          <cell r="O115">
            <v>45043</v>
          </cell>
        </row>
        <row r="116">
          <cell r="O116">
            <v>45047</v>
          </cell>
        </row>
        <row r="117">
          <cell r="O117">
            <v>45093</v>
          </cell>
        </row>
        <row r="118">
          <cell r="O118">
            <v>45147</v>
          </cell>
        </row>
        <row r="119">
          <cell r="O119">
            <v>45194</v>
          </cell>
        </row>
        <row r="120">
          <cell r="O120">
            <v>45285</v>
          </cell>
        </row>
        <row r="121">
          <cell r="O121">
            <v>45286</v>
          </cell>
        </row>
        <row r="122">
          <cell r="O122">
            <v>45292</v>
          </cell>
        </row>
        <row r="123">
          <cell r="O123">
            <v>45372</v>
          </cell>
        </row>
        <row r="124">
          <cell r="O124">
            <v>45380</v>
          </cell>
        </row>
        <row r="125">
          <cell r="O125">
            <v>45383</v>
          </cell>
        </row>
        <row r="126">
          <cell r="O126">
            <v>45413</v>
          </cell>
        </row>
        <row r="127">
          <cell r="O127">
            <v>45460</v>
          </cell>
        </row>
        <row r="128">
          <cell r="O128">
            <v>45513</v>
          </cell>
        </row>
        <row r="129">
          <cell r="O129">
            <v>45559</v>
          </cell>
        </row>
        <row r="130">
          <cell r="O130">
            <v>45642</v>
          </cell>
        </row>
        <row r="131">
          <cell r="O131">
            <v>45651</v>
          </cell>
        </row>
        <row r="132">
          <cell r="O132">
            <v>45652</v>
          </cell>
        </row>
        <row r="133">
          <cell r="O133">
            <v>45658</v>
          </cell>
        </row>
        <row r="134">
          <cell r="O134">
            <v>45737</v>
          </cell>
        </row>
        <row r="135">
          <cell r="O135">
            <v>45765</v>
          </cell>
        </row>
        <row r="136">
          <cell r="O136">
            <v>45768</v>
          </cell>
        </row>
        <row r="137">
          <cell r="O137">
            <v>45775</v>
          </cell>
        </row>
        <row r="138">
          <cell r="O138">
            <v>45778</v>
          </cell>
        </row>
        <row r="139">
          <cell r="O139">
            <v>45824</v>
          </cell>
        </row>
        <row r="140">
          <cell r="O140">
            <v>45924</v>
          </cell>
        </row>
        <row r="141">
          <cell r="O141">
            <v>46007</v>
          </cell>
        </row>
        <row r="142">
          <cell r="O142">
            <v>46016</v>
          </cell>
        </row>
        <row r="143">
          <cell r="O143">
            <v>46017</v>
          </cell>
        </row>
        <row r="144">
          <cell r="O144">
            <v>46023</v>
          </cell>
        </row>
        <row r="145">
          <cell r="O145">
            <v>46115</v>
          </cell>
        </row>
        <row r="146">
          <cell r="O146">
            <v>46118</v>
          </cell>
        </row>
        <row r="147">
          <cell r="O147">
            <v>46139</v>
          </cell>
        </row>
        <row r="148">
          <cell r="O148">
            <v>46143</v>
          </cell>
        </row>
        <row r="149">
          <cell r="O149">
            <v>46189</v>
          </cell>
        </row>
        <row r="150">
          <cell r="O150">
            <v>46244</v>
          </cell>
        </row>
        <row r="151">
          <cell r="O151">
            <v>46289</v>
          </cell>
        </row>
        <row r="152">
          <cell r="O152">
            <v>46372</v>
          </cell>
        </row>
        <row r="153">
          <cell r="O153">
            <v>46381</v>
          </cell>
        </row>
        <row r="154">
          <cell r="O154">
            <v>46388</v>
          </cell>
        </row>
        <row r="155">
          <cell r="O155">
            <v>46468</v>
          </cell>
        </row>
        <row r="156">
          <cell r="O156">
            <v>46472</v>
          </cell>
        </row>
        <row r="157">
          <cell r="O157">
            <v>46475</v>
          </cell>
        </row>
        <row r="158">
          <cell r="O158">
            <v>46504</v>
          </cell>
        </row>
        <row r="159">
          <cell r="O159">
            <v>46554</v>
          </cell>
        </row>
        <row r="160">
          <cell r="O160">
            <v>46608</v>
          </cell>
        </row>
        <row r="161">
          <cell r="O161">
            <v>46654</v>
          </cell>
        </row>
        <row r="162">
          <cell r="O162">
            <v>46737</v>
          </cell>
        </row>
        <row r="163">
          <cell r="O163">
            <v>46748</v>
          </cell>
        </row>
        <row r="164">
          <cell r="O164">
            <v>46833</v>
          </cell>
        </row>
        <row r="165">
          <cell r="O165">
            <v>46857</v>
          </cell>
        </row>
        <row r="166">
          <cell r="O166">
            <v>46860</v>
          </cell>
        </row>
        <row r="167">
          <cell r="O167">
            <v>46870</v>
          </cell>
        </row>
        <row r="168">
          <cell r="O168">
            <v>46874</v>
          </cell>
        </row>
        <row r="169">
          <cell r="O169">
            <v>46920</v>
          </cell>
        </row>
        <row r="170">
          <cell r="O170">
            <v>46974</v>
          </cell>
        </row>
        <row r="171">
          <cell r="O171">
            <v>47021</v>
          </cell>
        </row>
        <row r="172">
          <cell r="O172">
            <v>47112</v>
          </cell>
        </row>
        <row r="173">
          <cell r="O173">
            <v>47113</v>
          </cell>
        </row>
        <row r="174">
          <cell r="O174">
            <v>47119</v>
          </cell>
        </row>
        <row r="175">
          <cell r="O175">
            <v>47198</v>
          </cell>
        </row>
        <row r="176">
          <cell r="O176">
            <v>47207</v>
          </cell>
        </row>
        <row r="177">
          <cell r="O177">
            <v>47210</v>
          </cell>
        </row>
        <row r="178">
          <cell r="O178">
            <v>47235</v>
          </cell>
        </row>
        <row r="179">
          <cell r="O179">
            <v>47239</v>
          </cell>
        </row>
        <row r="180">
          <cell r="O180">
            <v>47339</v>
          </cell>
        </row>
        <row r="181">
          <cell r="O181">
            <v>47385</v>
          </cell>
        </row>
        <row r="182">
          <cell r="O182">
            <v>47469</v>
          </cell>
        </row>
        <row r="183">
          <cell r="O183">
            <v>47477</v>
          </cell>
        </row>
        <row r="184">
          <cell r="O184">
            <v>47478</v>
          </cell>
        </row>
        <row r="185">
          <cell r="O185">
            <v>47484</v>
          </cell>
        </row>
        <row r="186">
          <cell r="O186">
            <v>47563</v>
          </cell>
        </row>
        <row r="187">
          <cell r="O187">
            <v>47592</v>
          </cell>
        </row>
        <row r="188">
          <cell r="O188">
            <v>47595</v>
          </cell>
        </row>
        <row r="189">
          <cell r="O189">
            <v>47604</v>
          </cell>
        </row>
        <row r="190">
          <cell r="O190">
            <v>47651</v>
          </cell>
        </row>
        <row r="191">
          <cell r="O191">
            <v>47704</v>
          </cell>
        </row>
        <row r="192">
          <cell r="O192">
            <v>47750</v>
          </cell>
        </row>
        <row r="193">
          <cell r="O193">
            <v>47833</v>
          </cell>
        </row>
        <row r="194">
          <cell r="O194">
            <v>47842</v>
          </cell>
        </row>
        <row r="195">
          <cell r="O195">
            <v>47843</v>
          </cell>
        </row>
        <row r="196">
          <cell r="O196">
            <v>47849</v>
          </cell>
        </row>
        <row r="197">
          <cell r="O197">
            <v>47928</v>
          </cell>
        </row>
        <row r="198">
          <cell r="O198">
            <v>47949</v>
          </cell>
        </row>
        <row r="199">
          <cell r="O199">
            <v>47952</v>
          </cell>
        </row>
        <row r="200">
          <cell r="O200">
            <v>47966</v>
          </cell>
        </row>
        <row r="201">
          <cell r="O201">
            <v>47969</v>
          </cell>
        </row>
        <row r="202">
          <cell r="O202">
            <v>48015</v>
          </cell>
        </row>
        <row r="203">
          <cell r="O203">
            <v>48115</v>
          </cell>
        </row>
        <row r="204">
          <cell r="O204">
            <v>48198</v>
          </cell>
        </row>
        <row r="205">
          <cell r="O205">
            <v>48207</v>
          </cell>
        </row>
        <row r="206">
          <cell r="O206">
            <v>48208</v>
          </cell>
        </row>
        <row r="207">
          <cell r="O207">
            <v>48214</v>
          </cell>
        </row>
        <row r="208">
          <cell r="O208">
            <v>48295</v>
          </cell>
        </row>
        <row r="209">
          <cell r="O209">
            <v>48299</v>
          </cell>
        </row>
        <row r="210">
          <cell r="O210">
            <v>48302</v>
          </cell>
        </row>
        <row r="211">
          <cell r="O211">
            <v>48331</v>
          </cell>
        </row>
        <row r="212">
          <cell r="O212">
            <v>48381</v>
          </cell>
        </row>
        <row r="213">
          <cell r="O213">
            <v>48435</v>
          </cell>
        </row>
        <row r="214">
          <cell r="O214">
            <v>48481</v>
          </cell>
        </row>
        <row r="215">
          <cell r="O215">
            <v>48564</v>
          </cell>
        </row>
        <row r="216">
          <cell r="O216">
            <v>48575</v>
          </cell>
        </row>
        <row r="217">
          <cell r="O217">
            <v>48659</v>
          </cell>
        </row>
        <row r="218">
          <cell r="O218">
            <v>48684</v>
          </cell>
        </row>
        <row r="219">
          <cell r="O219">
            <v>48687</v>
          </cell>
        </row>
        <row r="220">
          <cell r="O220">
            <v>48696</v>
          </cell>
        </row>
        <row r="221">
          <cell r="O221">
            <v>48701</v>
          </cell>
        </row>
        <row r="222">
          <cell r="O222">
            <v>48746</v>
          </cell>
        </row>
        <row r="223">
          <cell r="O223">
            <v>48800</v>
          </cell>
        </row>
        <row r="224">
          <cell r="O224">
            <v>48929</v>
          </cell>
        </row>
        <row r="225">
          <cell r="O225">
            <v>48939</v>
          </cell>
        </row>
        <row r="226">
          <cell r="O226">
            <v>48946</v>
          </cell>
        </row>
        <row r="227">
          <cell r="O227">
            <v>49024</v>
          </cell>
        </row>
        <row r="228">
          <cell r="O228">
            <v>49041</v>
          </cell>
        </row>
        <row r="229">
          <cell r="O229">
            <v>49044</v>
          </cell>
        </row>
        <row r="230">
          <cell r="O230">
            <v>49061</v>
          </cell>
        </row>
        <row r="231">
          <cell r="O231">
            <v>49065</v>
          </cell>
        </row>
        <row r="232">
          <cell r="O232">
            <v>49111</v>
          </cell>
        </row>
        <row r="233">
          <cell r="O233">
            <v>49165</v>
          </cell>
        </row>
        <row r="234">
          <cell r="O234">
            <v>49212</v>
          </cell>
        </row>
        <row r="235">
          <cell r="O235">
            <v>49303</v>
          </cell>
        </row>
        <row r="236">
          <cell r="O236">
            <v>49304</v>
          </cell>
        </row>
        <row r="237">
          <cell r="O237">
            <v>49310</v>
          </cell>
        </row>
        <row r="238">
          <cell r="O238">
            <v>49389</v>
          </cell>
        </row>
        <row r="239">
          <cell r="O239">
            <v>49391</v>
          </cell>
        </row>
        <row r="240">
          <cell r="O240">
            <v>49394</v>
          </cell>
        </row>
        <row r="241">
          <cell r="O241">
            <v>49426</v>
          </cell>
        </row>
        <row r="242">
          <cell r="O242">
            <v>49430</v>
          </cell>
        </row>
        <row r="243">
          <cell r="O243">
            <v>49530</v>
          </cell>
        </row>
        <row r="244">
          <cell r="O244">
            <v>49576</v>
          </cell>
        </row>
        <row r="245">
          <cell r="O245">
            <v>49660</v>
          </cell>
        </row>
        <row r="246">
          <cell r="O246">
            <v>49668</v>
          </cell>
        </row>
        <row r="247">
          <cell r="O247">
            <v>49669</v>
          </cell>
        </row>
        <row r="248">
          <cell r="O248">
            <v>49675</v>
          </cell>
        </row>
        <row r="249">
          <cell r="O249">
            <v>49755</v>
          </cell>
        </row>
        <row r="250">
          <cell r="O250">
            <v>49776</v>
          </cell>
        </row>
        <row r="251">
          <cell r="O251">
            <v>49779</v>
          </cell>
        </row>
        <row r="252">
          <cell r="O252">
            <v>49793</v>
          </cell>
        </row>
        <row r="253">
          <cell r="O253">
            <v>49796</v>
          </cell>
        </row>
        <row r="254">
          <cell r="O254">
            <v>49842</v>
          </cell>
        </row>
        <row r="255">
          <cell r="O255">
            <v>49942</v>
          </cell>
        </row>
        <row r="256">
          <cell r="O256">
            <v>50025</v>
          </cell>
        </row>
        <row r="257">
          <cell r="O257">
            <v>50034</v>
          </cell>
        </row>
        <row r="258">
          <cell r="O258">
            <v>50035</v>
          </cell>
        </row>
        <row r="259">
          <cell r="O259">
            <v>50041</v>
          </cell>
        </row>
        <row r="260">
          <cell r="O260">
            <v>50133</v>
          </cell>
        </row>
        <row r="261">
          <cell r="O261">
            <v>50136</v>
          </cell>
        </row>
        <row r="262">
          <cell r="O262">
            <v>50157</v>
          </cell>
        </row>
        <row r="263">
          <cell r="O263">
            <v>50161</v>
          </cell>
        </row>
        <row r="264">
          <cell r="O264">
            <v>50207</v>
          </cell>
        </row>
        <row r="265">
          <cell r="O265">
            <v>50262</v>
          </cell>
        </row>
        <row r="266">
          <cell r="O266">
            <v>50307</v>
          </cell>
        </row>
        <row r="267">
          <cell r="O267">
            <v>50390</v>
          </cell>
        </row>
        <row r="268">
          <cell r="O268">
            <v>50399</v>
          </cell>
        </row>
        <row r="269">
          <cell r="O269">
            <v>50406</v>
          </cell>
        </row>
        <row r="270">
          <cell r="O270">
            <v>50486</v>
          </cell>
        </row>
        <row r="271">
          <cell r="O271">
            <v>50518</v>
          </cell>
        </row>
        <row r="272">
          <cell r="O272">
            <v>50521</v>
          </cell>
        </row>
        <row r="273">
          <cell r="O273">
            <v>50522</v>
          </cell>
        </row>
        <row r="274">
          <cell r="O274">
            <v>50572</v>
          </cell>
        </row>
        <row r="275">
          <cell r="O275">
            <v>50626</v>
          </cell>
        </row>
        <row r="276">
          <cell r="O276">
            <v>50672</v>
          </cell>
        </row>
        <row r="277">
          <cell r="O277">
            <v>50755</v>
          </cell>
        </row>
        <row r="278">
          <cell r="O278">
            <v>50766</v>
          </cell>
        </row>
        <row r="279">
          <cell r="O279">
            <v>50850</v>
          </cell>
        </row>
        <row r="280">
          <cell r="O280">
            <v>50868</v>
          </cell>
        </row>
        <row r="281">
          <cell r="O281">
            <v>50871</v>
          </cell>
        </row>
        <row r="282">
          <cell r="O282">
            <v>50887</v>
          </cell>
        </row>
        <row r="283">
          <cell r="O283">
            <v>50892</v>
          </cell>
        </row>
        <row r="284">
          <cell r="O284">
            <v>50937</v>
          </cell>
        </row>
        <row r="285">
          <cell r="O285">
            <v>50991</v>
          </cell>
        </row>
        <row r="286">
          <cell r="O286">
            <v>51120</v>
          </cell>
        </row>
        <row r="287">
          <cell r="O287">
            <v>51130</v>
          </cell>
        </row>
        <row r="288">
          <cell r="O288">
            <v>51137</v>
          </cell>
        </row>
        <row r="289">
          <cell r="O289">
            <v>51216</v>
          </cell>
        </row>
        <row r="290">
          <cell r="O290">
            <v>51225</v>
          </cell>
        </row>
        <row r="291">
          <cell r="O291">
            <v>51228</v>
          </cell>
        </row>
        <row r="292">
          <cell r="O292">
            <v>51253</v>
          </cell>
        </row>
        <row r="293">
          <cell r="O293">
            <v>51257</v>
          </cell>
        </row>
        <row r="294">
          <cell r="O294">
            <v>51357</v>
          </cell>
        </row>
        <row r="295">
          <cell r="O295">
            <v>51403</v>
          </cell>
        </row>
        <row r="296">
          <cell r="O296">
            <v>51487</v>
          </cell>
        </row>
        <row r="297">
          <cell r="O297">
            <v>51495</v>
          </cell>
        </row>
        <row r="298">
          <cell r="O298">
            <v>51496</v>
          </cell>
        </row>
        <row r="299">
          <cell r="O299">
            <v>51502</v>
          </cell>
        </row>
        <row r="300">
          <cell r="O300">
            <v>51581</v>
          </cell>
        </row>
        <row r="301">
          <cell r="O301">
            <v>51610</v>
          </cell>
        </row>
        <row r="302">
          <cell r="O302">
            <v>51613</v>
          </cell>
        </row>
        <row r="303">
          <cell r="O303">
            <v>51622</v>
          </cell>
        </row>
        <row r="304">
          <cell r="O304">
            <v>51669</v>
          </cell>
        </row>
        <row r="305">
          <cell r="O305">
            <v>51722</v>
          </cell>
        </row>
        <row r="306">
          <cell r="O306">
            <v>51768</v>
          </cell>
        </row>
        <row r="307">
          <cell r="O307">
            <v>51851</v>
          </cell>
        </row>
        <row r="308">
          <cell r="O308">
            <v>51860</v>
          </cell>
        </row>
        <row r="309">
          <cell r="O309">
            <v>51861</v>
          </cell>
        </row>
        <row r="310">
          <cell r="O310">
            <v>51867</v>
          </cell>
        </row>
        <row r="311">
          <cell r="O311">
            <v>51946</v>
          </cell>
        </row>
        <row r="312">
          <cell r="O312">
            <v>51960</v>
          </cell>
        </row>
        <row r="313">
          <cell r="O313">
            <v>51963</v>
          </cell>
        </row>
        <row r="314">
          <cell r="O314">
            <v>51984</v>
          </cell>
        </row>
        <row r="315">
          <cell r="O315">
            <v>51987</v>
          </cell>
        </row>
        <row r="316">
          <cell r="O316">
            <v>52033</v>
          </cell>
        </row>
        <row r="317">
          <cell r="O317">
            <v>52133</v>
          </cell>
        </row>
        <row r="318">
          <cell r="O318">
            <v>52216</v>
          </cell>
        </row>
        <row r="319">
          <cell r="O319">
            <v>52225</v>
          </cell>
        </row>
        <row r="320">
          <cell r="O320">
            <v>52226</v>
          </cell>
        </row>
        <row r="321">
          <cell r="O321">
            <v>52232</v>
          </cell>
        </row>
        <row r="322">
          <cell r="O322">
            <v>52317</v>
          </cell>
        </row>
        <row r="323">
          <cell r="O323">
            <v>52320</v>
          </cell>
        </row>
        <row r="324">
          <cell r="O324">
            <v>52348</v>
          </cell>
        </row>
        <row r="325">
          <cell r="O325">
            <v>52352</v>
          </cell>
        </row>
        <row r="326">
          <cell r="O326">
            <v>52398</v>
          </cell>
        </row>
        <row r="327">
          <cell r="O327">
            <v>52453</v>
          </cell>
        </row>
        <row r="328">
          <cell r="O328">
            <v>52498</v>
          </cell>
        </row>
        <row r="329">
          <cell r="O329">
            <v>52581</v>
          </cell>
        </row>
        <row r="330">
          <cell r="O330">
            <v>52590</v>
          </cell>
        </row>
        <row r="331">
          <cell r="O331">
            <v>52597</v>
          </cell>
        </row>
        <row r="332">
          <cell r="O332">
            <v>52677</v>
          </cell>
        </row>
        <row r="333">
          <cell r="O333">
            <v>52702</v>
          </cell>
        </row>
        <row r="334">
          <cell r="O334">
            <v>52705</v>
          </cell>
        </row>
        <row r="335">
          <cell r="O335">
            <v>52714</v>
          </cell>
        </row>
        <row r="336">
          <cell r="O336">
            <v>52719</v>
          </cell>
        </row>
        <row r="337">
          <cell r="O337">
            <v>52764</v>
          </cell>
        </row>
        <row r="338">
          <cell r="O338">
            <v>52818</v>
          </cell>
        </row>
        <row r="339">
          <cell r="O339">
            <v>52947</v>
          </cell>
        </row>
        <row r="340">
          <cell r="O340">
            <v>52957</v>
          </cell>
        </row>
        <row r="341">
          <cell r="O341">
            <v>52964</v>
          </cell>
        </row>
        <row r="342">
          <cell r="O342">
            <v>53042</v>
          </cell>
        </row>
        <row r="343">
          <cell r="O343">
            <v>53059</v>
          </cell>
        </row>
        <row r="344">
          <cell r="O344">
            <v>53062</v>
          </cell>
        </row>
        <row r="345">
          <cell r="O345">
            <v>53079</v>
          </cell>
        </row>
        <row r="346">
          <cell r="O346">
            <v>53083</v>
          </cell>
        </row>
        <row r="347">
          <cell r="O347">
            <v>53129</v>
          </cell>
        </row>
        <row r="348">
          <cell r="O348">
            <v>53183</v>
          </cell>
        </row>
        <row r="349">
          <cell r="O349">
            <v>53230</v>
          </cell>
        </row>
        <row r="350">
          <cell r="O350">
            <v>53321</v>
          </cell>
        </row>
        <row r="351">
          <cell r="O351">
            <v>53322</v>
          </cell>
        </row>
        <row r="352">
          <cell r="O352">
            <v>53328</v>
          </cell>
        </row>
        <row r="353">
          <cell r="O353">
            <v>53407</v>
          </cell>
        </row>
        <row r="354">
          <cell r="O354">
            <v>53409</v>
          </cell>
        </row>
        <row r="355">
          <cell r="O355">
            <v>53412</v>
          </cell>
        </row>
        <row r="356">
          <cell r="O356">
            <v>53444</v>
          </cell>
        </row>
        <row r="357">
          <cell r="O357">
            <v>53448</v>
          </cell>
        </row>
        <row r="358">
          <cell r="O358">
            <v>53548</v>
          </cell>
        </row>
        <row r="359">
          <cell r="O359">
            <v>53594</v>
          </cell>
        </row>
        <row r="360">
          <cell r="O360">
            <v>53678</v>
          </cell>
        </row>
        <row r="361">
          <cell r="O361">
            <v>53686</v>
          </cell>
        </row>
        <row r="362">
          <cell r="O362">
            <v>53687</v>
          </cell>
        </row>
        <row r="363">
          <cell r="O363">
            <v>53693</v>
          </cell>
        </row>
        <row r="364">
          <cell r="O364">
            <v>53772</v>
          </cell>
        </row>
        <row r="365">
          <cell r="O365">
            <v>53794</v>
          </cell>
        </row>
        <row r="366">
          <cell r="O366">
            <v>53797</v>
          </cell>
        </row>
        <row r="367">
          <cell r="O367">
            <v>53813</v>
          </cell>
        </row>
        <row r="368">
          <cell r="O368">
            <v>53860</v>
          </cell>
        </row>
        <row r="369">
          <cell r="O369">
            <v>53913</v>
          </cell>
        </row>
        <row r="370">
          <cell r="O370">
            <v>53959</v>
          </cell>
        </row>
        <row r="371">
          <cell r="O371">
            <v>54042</v>
          </cell>
        </row>
        <row r="372">
          <cell r="O372">
            <v>54051</v>
          </cell>
        </row>
        <row r="373">
          <cell r="O373">
            <v>54052</v>
          </cell>
        </row>
        <row r="374">
          <cell r="O374">
            <v>54058</v>
          </cell>
        </row>
        <row r="375">
          <cell r="O375">
            <v>54151</v>
          </cell>
        </row>
        <row r="376">
          <cell r="O376">
            <v>54154</v>
          </cell>
        </row>
        <row r="377">
          <cell r="O377">
            <v>54175</v>
          </cell>
        </row>
        <row r="378">
          <cell r="O378">
            <v>54179</v>
          </cell>
        </row>
        <row r="379">
          <cell r="O379">
            <v>54225</v>
          </cell>
        </row>
        <row r="380">
          <cell r="O380">
            <v>54280</v>
          </cell>
        </row>
        <row r="381">
          <cell r="O381">
            <v>54325</v>
          </cell>
        </row>
        <row r="382">
          <cell r="O382">
            <v>54408</v>
          </cell>
        </row>
        <row r="383">
          <cell r="O383">
            <v>54417</v>
          </cell>
        </row>
        <row r="384">
          <cell r="O384">
            <v>54424</v>
          </cell>
        </row>
        <row r="385">
          <cell r="O385">
            <v>54504</v>
          </cell>
        </row>
        <row r="386">
          <cell r="O386">
            <v>54529</v>
          </cell>
        </row>
        <row r="387">
          <cell r="O387">
            <v>54532</v>
          </cell>
        </row>
        <row r="388">
          <cell r="O388">
            <v>54540</v>
          </cell>
        </row>
        <row r="389">
          <cell r="O389">
            <v>54590</v>
          </cell>
        </row>
        <row r="390">
          <cell r="O390">
            <v>54644</v>
          </cell>
        </row>
        <row r="391">
          <cell r="O391">
            <v>54690</v>
          </cell>
        </row>
        <row r="392">
          <cell r="O392">
            <v>54773</v>
          </cell>
        </row>
        <row r="393">
          <cell r="O393">
            <v>54784</v>
          </cell>
        </row>
        <row r="394">
          <cell r="O394">
            <v>54868</v>
          </cell>
        </row>
        <row r="395">
          <cell r="O395">
            <v>54886</v>
          </cell>
        </row>
        <row r="396">
          <cell r="O396">
            <v>54889</v>
          </cell>
        </row>
        <row r="397">
          <cell r="O397">
            <v>54905</v>
          </cell>
        </row>
        <row r="398">
          <cell r="O398">
            <v>54910</v>
          </cell>
        </row>
        <row r="399">
          <cell r="O399">
            <v>54955</v>
          </cell>
        </row>
        <row r="400">
          <cell r="O400">
            <v>55009</v>
          </cell>
        </row>
        <row r="401">
          <cell r="O401">
            <v>55138</v>
          </cell>
        </row>
        <row r="402">
          <cell r="O402">
            <v>55148</v>
          </cell>
        </row>
        <row r="403">
          <cell r="O403">
            <v>55155</v>
          </cell>
        </row>
        <row r="404">
          <cell r="O404">
            <v>55233</v>
          </cell>
        </row>
        <row r="405">
          <cell r="O405">
            <v>55243</v>
          </cell>
        </row>
        <row r="406">
          <cell r="O406">
            <v>55246</v>
          </cell>
        </row>
        <row r="407">
          <cell r="O407">
            <v>55270</v>
          </cell>
        </row>
        <row r="408">
          <cell r="O408">
            <v>55274</v>
          </cell>
        </row>
        <row r="409">
          <cell r="O409">
            <v>55320</v>
          </cell>
        </row>
        <row r="410">
          <cell r="O410">
            <v>55374</v>
          </cell>
        </row>
        <row r="411">
          <cell r="O411">
            <v>55421</v>
          </cell>
        </row>
        <row r="412">
          <cell r="O412">
            <v>55512</v>
          </cell>
        </row>
        <row r="413">
          <cell r="O413">
            <v>55513</v>
          </cell>
        </row>
        <row r="414">
          <cell r="O414">
            <v>55519</v>
          </cell>
        </row>
        <row r="415">
          <cell r="O415">
            <v>55599</v>
          </cell>
        </row>
        <row r="416">
          <cell r="O416">
            <v>55628</v>
          </cell>
        </row>
        <row r="417">
          <cell r="O417">
            <v>55631</v>
          </cell>
        </row>
        <row r="418">
          <cell r="O418">
            <v>55640</v>
          </cell>
        </row>
        <row r="419">
          <cell r="O419">
            <v>55687</v>
          </cell>
        </row>
        <row r="420">
          <cell r="O420">
            <v>55740</v>
          </cell>
        </row>
        <row r="421">
          <cell r="O421">
            <v>55786</v>
          </cell>
        </row>
        <row r="422">
          <cell r="O422">
            <v>55869</v>
          </cell>
        </row>
        <row r="423">
          <cell r="O423">
            <v>55878</v>
          </cell>
        </row>
        <row r="424">
          <cell r="O424">
            <v>55879</v>
          </cell>
        </row>
        <row r="425">
          <cell r="O425">
            <v>55885</v>
          </cell>
        </row>
        <row r="426">
          <cell r="O426">
            <v>55964</v>
          </cell>
        </row>
        <row r="427">
          <cell r="O427">
            <v>55978</v>
          </cell>
        </row>
        <row r="428">
          <cell r="O428">
            <v>55981</v>
          </cell>
        </row>
        <row r="429">
          <cell r="O429">
            <v>56002</v>
          </cell>
        </row>
        <row r="430">
          <cell r="O430">
            <v>56005</v>
          </cell>
        </row>
        <row r="431">
          <cell r="O431">
            <v>56051</v>
          </cell>
        </row>
        <row r="432">
          <cell r="O432">
            <v>56151</v>
          </cell>
        </row>
        <row r="433">
          <cell r="O433">
            <v>56234</v>
          </cell>
        </row>
        <row r="434">
          <cell r="O434">
            <v>56243</v>
          </cell>
        </row>
        <row r="435">
          <cell r="O435">
            <v>56244</v>
          </cell>
        </row>
        <row r="436">
          <cell r="O436">
            <v>56250</v>
          </cell>
        </row>
        <row r="437">
          <cell r="O437">
            <v>56335</v>
          </cell>
        </row>
        <row r="438">
          <cell r="O438">
            <v>56338</v>
          </cell>
        </row>
        <row r="439">
          <cell r="O439">
            <v>56366</v>
          </cell>
        </row>
        <row r="440">
          <cell r="O440">
            <v>56370</v>
          </cell>
        </row>
        <row r="441">
          <cell r="O441">
            <v>56416</v>
          </cell>
        </row>
        <row r="442">
          <cell r="O442">
            <v>56471</v>
          </cell>
        </row>
        <row r="443">
          <cell r="O443">
            <v>56516</v>
          </cell>
        </row>
        <row r="444">
          <cell r="O444">
            <v>56599</v>
          </cell>
        </row>
        <row r="445">
          <cell r="O445">
            <v>56608</v>
          </cell>
        </row>
        <row r="446">
          <cell r="O446">
            <v>56615</v>
          </cell>
        </row>
        <row r="447">
          <cell r="O447">
            <v>56695</v>
          </cell>
        </row>
        <row r="448">
          <cell r="O448">
            <v>56720</v>
          </cell>
        </row>
        <row r="449">
          <cell r="O449">
            <v>56723</v>
          </cell>
        </row>
        <row r="450">
          <cell r="O450">
            <v>56731</v>
          </cell>
        </row>
        <row r="451">
          <cell r="O451">
            <v>56781</v>
          </cell>
        </row>
        <row r="452">
          <cell r="O452">
            <v>56835</v>
          </cell>
        </row>
        <row r="453">
          <cell r="O453">
            <v>56881</v>
          </cell>
        </row>
        <row r="454">
          <cell r="O454">
            <v>56964</v>
          </cell>
        </row>
        <row r="455">
          <cell r="O455">
            <v>56975</v>
          </cell>
        </row>
        <row r="456">
          <cell r="O456">
            <v>57060</v>
          </cell>
        </row>
        <row r="457">
          <cell r="O457">
            <v>57070</v>
          </cell>
        </row>
        <row r="458">
          <cell r="O458">
            <v>57073</v>
          </cell>
        </row>
        <row r="459">
          <cell r="O459">
            <v>57097</v>
          </cell>
        </row>
        <row r="460">
          <cell r="O460">
            <v>57101</v>
          </cell>
        </row>
        <row r="461">
          <cell r="O461">
            <v>57147</v>
          </cell>
        </row>
        <row r="462">
          <cell r="O462">
            <v>57201</v>
          </cell>
        </row>
        <row r="463">
          <cell r="O463">
            <v>57248</v>
          </cell>
        </row>
        <row r="464">
          <cell r="O464">
            <v>57339</v>
          </cell>
        </row>
        <row r="465">
          <cell r="O465">
            <v>57340</v>
          </cell>
        </row>
        <row r="466">
          <cell r="O466">
            <v>57346</v>
          </cell>
        </row>
        <row r="467">
          <cell r="O467">
            <v>57425</v>
          </cell>
        </row>
        <row r="468">
          <cell r="O468">
            <v>57455</v>
          </cell>
        </row>
        <row r="469">
          <cell r="O469">
            <v>57458</v>
          </cell>
        </row>
        <row r="470">
          <cell r="O470">
            <v>57462</v>
          </cell>
        </row>
        <row r="471">
          <cell r="O471">
            <v>57466</v>
          </cell>
        </row>
        <row r="472">
          <cell r="O472">
            <v>57566</v>
          </cell>
        </row>
        <row r="473">
          <cell r="O473">
            <v>57612</v>
          </cell>
        </row>
        <row r="474">
          <cell r="O474">
            <v>57696</v>
          </cell>
        </row>
        <row r="475">
          <cell r="O475">
            <v>57704</v>
          </cell>
        </row>
        <row r="476">
          <cell r="O476">
            <v>57705</v>
          </cell>
        </row>
        <row r="477">
          <cell r="O477">
            <v>57711</v>
          </cell>
        </row>
        <row r="478">
          <cell r="O478">
            <v>57790</v>
          </cell>
        </row>
        <row r="479">
          <cell r="O479">
            <v>57812</v>
          </cell>
        </row>
        <row r="480">
          <cell r="O480">
            <v>57815</v>
          </cell>
        </row>
        <row r="481">
          <cell r="O481">
            <v>57831</v>
          </cell>
        </row>
        <row r="482">
          <cell r="O482">
            <v>57878</v>
          </cell>
        </row>
        <row r="483">
          <cell r="O483">
            <v>57931</v>
          </cell>
        </row>
        <row r="484">
          <cell r="O484">
            <v>57977</v>
          </cell>
        </row>
        <row r="485">
          <cell r="O485">
            <v>58060</v>
          </cell>
        </row>
        <row r="486">
          <cell r="O486">
            <v>58069</v>
          </cell>
        </row>
        <row r="487">
          <cell r="O487">
            <v>58070</v>
          </cell>
        </row>
        <row r="488">
          <cell r="O488">
            <v>58076</v>
          </cell>
        </row>
        <row r="489">
          <cell r="O489">
            <v>58155</v>
          </cell>
        </row>
        <row r="490">
          <cell r="O490">
            <v>58162</v>
          </cell>
        </row>
        <row r="491">
          <cell r="O491">
            <v>58165</v>
          </cell>
        </row>
        <row r="492">
          <cell r="O492">
            <v>58193</v>
          </cell>
        </row>
        <row r="493">
          <cell r="O493">
            <v>58196</v>
          </cell>
        </row>
        <row r="494">
          <cell r="O494">
            <v>58242</v>
          </cell>
        </row>
        <row r="495">
          <cell r="O495">
            <v>58342</v>
          </cell>
        </row>
        <row r="496">
          <cell r="O496">
            <v>58425</v>
          </cell>
        </row>
        <row r="497">
          <cell r="O497">
            <v>58434</v>
          </cell>
        </row>
        <row r="498">
          <cell r="O498">
            <v>58435</v>
          </cell>
        </row>
        <row r="499">
          <cell r="O499">
            <v>58441</v>
          </cell>
        </row>
        <row r="500">
          <cell r="O500">
            <v>58522</v>
          </cell>
        </row>
        <row r="501">
          <cell r="O501">
            <v>58547</v>
          </cell>
        </row>
        <row r="502">
          <cell r="O502">
            <v>58550</v>
          </cell>
        </row>
        <row r="503">
          <cell r="O503">
            <v>58558</v>
          </cell>
        </row>
        <row r="504">
          <cell r="O504">
            <v>58608</v>
          </cell>
        </row>
        <row r="505">
          <cell r="O505">
            <v>58662</v>
          </cell>
        </row>
        <row r="506">
          <cell r="O506">
            <v>58708</v>
          </cell>
        </row>
        <row r="507">
          <cell r="O507">
            <v>58791</v>
          </cell>
        </row>
        <row r="508">
          <cell r="O508">
            <v>58802</v>
          </cell>
        </row>
        <row r="509">
          <cell r="O509">
            <v>58886</v>
          </cell>
        </row>
        <row r="510">
          <cell r="O510">
            <v>58904</v>
          </cell>
        </row>
        <row r="511">
          <cell r="O511">
            <v>58907</v>
          </cell>
        </row>
        <row r="512">
          <cell r="O512">
            <v>58923</v>
          </cell>
        </row>
        <row r="513">
          <cell r="O513">
            <v>58928</v>
          </cell>
        </row>
        <row r="514">
          <cell r="O514">
            <v>58973</v>
          </cell>
        </row>
        <row r="515">
          <cell r="O515">
            <v>59027</v>
          </cell>
        </row>
        <row r="516">
          <cell r="O516">
            <v>59156</v>
          </cell>
        </row>
        <row r="517">
          <cell r="O517">
            <v>59166</v>
          </cell>
        </row>
        <row r="518">
          <cell r="O518">
            <v>59173</v>
          </cell>
        </row>
        <row r="519">
          <cell r="O519">
            <v>59251</v>
          </cell>
        </row>
        <row r="520">
          <cell r="O520">
            <v>59254</v>
          </cell>
        </row>
        <row r="521">
          <cell r="O521">
            <v>59257</v>
          </cell>
        </row>
        <row r="522">
          <cell r="O522">
            <v>59288</v>
          </cell>
        </row>
        <row r="523">
          <cell r="O523">
            <v>59292</v>
          </cell>
        </row>
        <row r="524">
          <cell r="O524">
            <v>59338</v>
          </cell>
        </row>
        <row r="525">
          <cell r="O525">
            <v>59392</v>
          </cell>
        </row>
        <row r="526">
          <cell r="O526">
            <v>59439</v>
          </cell>
        </row>
        <row r="527">
          <cell r="O527">
            <v>59530</v>
          </cell>
        </row>
        <row r="528">
          <cell r="O528">
            <v>59531</v>
          </cell>
        </row>
        <row r="529">
          <cell r="O529">
            <v>59537</v>
          </cell>
        </row>
        <row r="530">
          <cell r="O530">
            <v>59616</v>
          </cell>
        </row>
        <row r="531">
          <cell r="O531">
            <v>59639</v>
          </cell>
        </row>
        <row r="532">
          <cell r="O532">
            <v>59642</v>
          </cell>
        </row>
        <row r="533">
          <cell r="O533">
            <v>59653</v>
          </cell>
        </row>
        <row r="534">
          <cell r="O534">
            <v>59657</v>
          </cell>
        </row>
        <row r="535">
          <cell r="O535">
            <v>59757</v>
          </cell>
        </row>
        <row r="536">
          <cell r="O536">
            <v>59803</v>
          </cell>
        </row>
        <row r="537">
          <cell r="O537">
            <v>59887</v>
          </cell>
        </row>
        <row r="538">
          <cell r="O538">
            <v>59895</v>
          </cell>
        </row>
        <row r="539">
          <cell r="O539">
            <v>59896</v>
          </cell>
        </row>
        <row r="540">
          <cell r="O540">
            <v>59902</v>
          </cell>
        </row>
        <row r="541">
          <cell r="O541">
            <v>59982</v>
          </cell>
        </row>
        <row r="542">
          <cell r="O542">
            <v>59996</v>
          </cell>
        </row>
        <row r="543">
          <cell r="O543">
            <v>59999</v>
          </cell>
        </row>
        <row r="544">
          <cell r="O544">
            <v>60020</v>
          </cell>
        </row>
        <row r="545">
          <cell r="O545">
            <v>60023</v>
          </cell>
        </row>
        <row r="546">
          <cell r="O546">
            <v>60069</v>
          </cell>
        </row>
        <row r="547">
          <cell r="O547">
            <v>60169</v>
          </cell>
        </row>
        <row r="548">
          <cell r="O548">
            <v>60252</v>
          </cell>
        </row>
        <row r="549">
          <cell r="O549">
            <v>60261</v>
          </cell>
        </row>
        <row r="550">
          <cell r="O550">
            <v>60262</v>
          </cell>
        </row>
        <row r="551">
          <cell r="O551">
            <v>60268</v>
          </cell>
        </row>
        <row r="552">
          <cell r="O552">
            <v>60353</v>
          </cell>
        </row>
        <row r="553">
          <cell r="O553">
            <v>60356</v>
          </cell>
        </row>
        <row r="554">
          <cell r="O554">
            <v>60384</v>
          </cell>
        </row>
        <row r="555">
          <cell r="O555">
            <v>60388</v>
          </cell>
        </row>
        <row r="556">
          <cell r="O556">
            <v>60434</v>
          </cell>
        </row>
        <row r="557">
          <cell r="O557">
            <v>60489</v>
          </cell>
        </row>
        <row r="558">
          <cell r="O558">
            <v>60534</v>
          </cell>
        </row>
        <row r="559">
          <cell r="O559">
            <v>60617</v>
          </cell>
        </row>
        <row r="560">
          <cell r="O560">
            <v>60626</v>
          </cell>
        </row>
        <row r="561">
          <cell r="O561">
            <v>60633</v>
          </cell>
        </row>
        <row r="562">
          <cell r="O562">
            <v>60713</v>
          </cell>
        </row>
        <row r="563">
          <cell r="O563">
            <v>60731</v>
          </cell>
        </row>
        <row r="564">
          <cell r="O564">
            <v>60734</v>
          </cell>
        </row>
        <row r="565">
          <cell r="O565">
            <v>60749</v>
          </cell>
        </row>
        <row r="566">
          <cell r="O566">
            <v>60799</v>
          </cell>
        </row>
        <row r="567">
          <cell r="O567">
            <v>60853</v>
          </cell>
        </row>
        <row r="568">
          <cell r="O568">
            <v>60899</v>
          </cell>
        </row>
        <row r="569">
          <cell r="O569">
            <v>60982</v>
          </cell>
        </row>
        <row r="570">
          <cell r="O570">
            <v>60993</v>
          </cell>
        </row>
        <row r="571">
          <cell r="O571">
            <v>61077</v>
          </cell>
        </row>
        <row r="572">
          <cell r="O572">
            <v>61088</v>
          </cell>
        </row>
        <row r="573">
          <cell r="O573">
            <v>61091</v>
          </cell>
        </row>
        <row r="574">
          <cell r="O574">
            <v>61114</v>
          </cell>
        </row>
        <row r="575">
          <cell r="O575">
            <v>61119</v>
          </cell>
        </row>
        <row r="576">
          <cell r="O576">
            <v>61164</v>
          </cell>
        </row>
        <row r="577">
          <cell r="O577">
            <v>61218</v>
          </cell>
        </row>
        <row r="578">
          <cell r="O578">
            <v>61347</v>
          </cell>
        </row>
        <row r="579">
          <cell r="O579">
            <v>61357</v>
          </cell>
        </row>
        <row r="580">
          <cell r="O580">
            <v>61364</v>
          </cell>
        </row>
        <row r="581">
          <cell r="O581">
            <v>61443</v>
          </cell>
        </row>
        <row r="582">
          <cell r="O582">
            <v>61473</v>
          </cell>
        </row>
        <row r="583">
          <cell r="O583">
            <v>61476</v>
          </cell>
        </row>
        <row r="584">
          <cell r="O584">
            <v>61480</v>
          </cell>
        </row>
        <row r="585">
          <cell r="O585">
            <v>61484</v>
          </cell>
        </row>
        <row r="586">
          <cell r="O586">
            <v>61584</v>
          </cell>
        </row>
        <row r="587">
          <cell r="O587">
            <v>61630</v>
          </cell>
        </row>
        <row r="588">
          <cell r="O588">
            <v>61714</v>
          </cell>
        </row>
        <row r="589">
          <cell r="O589">
            <v>61722</v>
          </cell>
        </row>
        <row r="590">
          <cell r="O590">
            <v>61723</v>
          </cell>
        </row>
        <row r="591">
          <cell r="O591">
            <v>61729</v>
          </cell>
        </row>
        <row r="592">
          <cell r="O592">
            <v>61808</v>
          </cell>
        </row>
        <row r="593">
          <cell r="O593">
            <v>61830</v>
          </cell>
        </row>
        <row r="594">
          <cell r="O594">
            <v>61833</v>
          </cell>
        </row>
        <row r="595">
          <cell r="O595">
            <v>61849</v>
          </cell>
        </row>
        <row r="596">
          <cell r="O596">
            <v>61896</v>
          </cell>
        </row>
        <row r="597">
          <cell r="O597">
            <v>61949</v>
          </cell>
        </row>
        <row r="598">
          <cell r="O598">
            <v>61995</v>
          </cell>
        </row>
        <row r="599">
          <cell r="O599">
            <v>62078</v>
          </cell>
        </row>
        <row r="600">
          <cell r="O600">
            <v>62087</v>
          </cell>
        </row>
        <row r="601">
          <cell r="O601">
            <v>62088</v>
          </cell>
        </row>
        <row r="602">
          <cell r="O602">
            <v>62094</v>
          </cell>
        </row>
        <row r="603">
          <cell r="O603">
            <v>62173</v>
          </cell>
        </row>
        <row r="604">
          <cell r="O604">
            <v>62180</v>
          </cell>
        </row>
        <row r="605">
          <cell r="O605">
            <v>62183</v>
          </cell>
        </row>
        <row r="606">
          <cell r="O606">
            <v>62211</v>
          </cell>
        </row>
        <row r="607">
          <cell r="O607">
            <v>62214</v>
          </cell>
        </row>
        <row r="608">
          <cell r="O608">
            <v>62260</v>
          </cell>
        </row>
        <row r="609">
          <cell r="O609">
            <v>62360</v>
          </cell>
        </row>
        <row r="610">
          <cell r="O610">
            <v>62443</v>
          </cell>
        </row>
        <row r="611">
          <cell r="O611">
            <v>62452</v>
          </cell>
        </row>
        <row r="612">
          <cell r="O612">
            <v>62453</v>
          </cell>
        </row>
        <row r="613">
          <cell r="O613">
            <v>62459</v>
          </cell>
        </row>
        <row r="614">
          <cell r="O614">
            <v>62565</v>
          </cell>
        </row>
        <row r="615">
          <cell r="O615">
            <v>62568</v>
          </cell>
        </row>
        <row r="616">
          <cell r="O616">
            <v>62575</v>
          </cell>
        </row>
        <row r="617">
          <cell r="O617">
            <v>62579</v>
          </cell>
        </row>
        <row r="618">
          <cell r="O618">
            <v>62625</v>
          </cell>
        </row>
        <row r="619">
          <cell r="O619">
            <v>62680</v>
          </cell>
        </row>
        <row r="620">
          <cell r="O620">
            <v>62725</v>
          </cell>
        </row>
        <row r="621">
          <cell r="O621">
            <v>62808</v>
          </cell>
        </row>
        <row r="622">
          <cell r="O622">
            <v>62817</v>
          </cell>
        </row>
        <row r="623">
          <cell r="O623">
            <v>62824</v>
          </cell>
        </row>
        <row r="624">
          <cell r="O624">
            <v>62904</v>
          </cell>
        </row>
        <row r="625">
          <cell r="O625">
            <v>62922</v>
          </cell>
        </row>
        <row r="626">
          <cell r="O626">
            <v>62925</v>
          </cell>
        </row>
        <row r="627">
          <cell r="O627">
            <v>62941</v>
          </cell>
        </row>
        <row r="628">
          <cell r="O628">
            <v>62946</v>
          </cell>
        </row>
        <row r="629">
          <cell r="O629">
            <v>62991</v>
          </cell>
        </row>
        <row r="630">
          <cell r="O630">
            <v>63045</v>
          </cell>
        </row>
        <row r="631">
          <cell r="O631">
            <v>63174</v>
          </cell>
        </row>
        <row r="632">
          <cell r="O632">
            <v>63184</v>
          </cell>
        </row>
        <row r="633">
          <cell r="O633">
            <v>63191</v>
          </cell>
        </row>
        <row r="634">
          <cell r="O634">
            <v>63269</v>
          </cell>
        </row>
        <row r="635">
          <cell r="O635">
            <v>63272</v>
          </cell>
        </row>
        <row r="636">
          <cell r="O636">
            <v>63275</v>
          </cell>
        </row>
        <row r="637">
          <cell r="O637">
            <v>63306</v>
          </cell>
        </row>
        <row r="638">
          <cell r="O638">
            <v>63310</v>
          </cell>
        </row>
        <row r="639">
          <cell r="O639">
            <v>63356</v>
          </cell>
        </row>
        <row r="640">
          <cell r="O640">
            <v>63410</v>
          </cell>
        </row>
        <row r="641">
          <cell r="O641">
            <v>63457</v>
          </cell>
        </row>
        <row r="642">
          <cell r="O642">
            <v>63548</v>
          </cell>
        </row>
        <row r="643">
          <cell r="O643">
            <v>63549</v>
          </cell>
        </row>
        <row r="644">
          <cell r="O644">
            <v>63555</v>
          </cell>
        </row>
        <row r="645">
          <cell r="O645">
            <v>63634</v>
          </cell>
        </row>
        <row r="646">
          <cell r="O646">
            <v>63657</v>
          </cell>
        </row>
        <row r="647">
          <cell r="O647">
            <v>63660</v>
          </cell>
        </row>
        <row r="648">
          <cell r="O648">
            <v>63671</v>
          </cell>
        </row>
        <row r="649">
          <cell r="O649">
            <v>63675</v>
          </cell>
        </row>
        <row r="650">
          <cell r="O650">
            <v>63775</v>
          </cell>
        </row>
        <row r="651">
          <cell r="O651">
            <v>63821</v>
          </cell>
        </row>
        <row r="652">
          <cell r="O652">
            <v>63905</v>
          </cell>
        </row>
        <row r="653">
          <cell r="O653">
            <v>63913</v>
          </cell>
        </row>
        <row r="654">
          <cell r="O654">
            <v>63914</v>
          </cell>
        </row>
        <row r="655">
          <cell r="O655">
            <v>63920</v>
          </cell>
        </row>
        <row r="656">
          <cell r="O656">
            <v>63999</v>
          </cell>
        </row>
        <row r="657">
          <cell r="O657">
            <v>64014</v>
          </cell>
        </row>
        <row r="658">
          <cell r="O658">
            <v>64017</v>
          </cell>
        </row>
        <row r="659">
          <cell r="O659">
            <v>64040</v>
          </cell>
        </row>
        <row r="660">
          <cell r="O660">
            <v>64087</v>
          </cell>
        </row>
        <row r="661">
          <cell r="O661">
            <v>64140</v>
          </cell>
        </row>
        <row r="662">
          <cell r="O662">
            <v>64186</v>
          </cell>
        </row>
        <row r="663">
          <cell r="O663">
            <v>64269</v>
          </cell>
        </row>
        <row r="664">
          <cell r="O664">
            <v>64278</v>
          </cell>
        </row>
        <row r="665">
          <cell r="O665">
            <v>64279</v>
          </cell>
        </row>
        <row r="666">
          <cell r="O666">
            <v>64285</v>
          </cell>
        </row>
        <row r="667">
          <cell r="O667">
            <v>64392</v>
          </cell>
        </row>
        <row r="668">
          <cell r="O668">
            <v>64395</v>
          </cell>
        </row>
        <row r="669">
          <cell r="O669">
            <v>64402</v>
          </cell>
        </row>
        <row r="670">
          <cell r="O670">
            <v>64406</v>
          </cell>
        </row>
        <row r="671">
          <cell r="O671">
            <v>64452</v>
          </cell>
        </row>
        <row r="672">
          <cell r="O672">
            <v>64507</v>
          </cell>
        </row>
        <row r="673">
          <cell r="O673">
            <v>64552</v>
          </cell>
        </row>
        <row r="674">
          <cell r="O674">
            <v>64635</v>
          </cell>
        </row>
        <row r="675">
          <cell r="O675">
            <v>64644</v>
          </cell>
        </row>
        <row r="676">
          <cell r="O676">
            <v>64651</v>
          </cell>
        </row>
        <row r="677">
          <cell r="O677">
            <v>64731</v>
          </cell>
        </row>
        <row r="678">
          <cell r="O678">
            <v>64749</v>
          </cell>
        </row>
        <row r="679">
          <cell r="O679">
            <v>64752</v>
          </cell>
        </row>
        <row r="680">
          <cell r="O680">
            <v>64767</v>
          </cell>
        </row>
        <row r="681">
          <cell r="O681">
            <v>64817</v>
          </cell>
        </row>
        <row r="682">
          <cell r="O682">
            <v>64871</v>
          </cell>
        </row>
        <row r="683">
          <cell r="O683">
            <v>64917</v>
          </cell>
        </row>
        <row r="684">
          <cell r="O684">
            <v>65000</v>
          </cell>
        </row>
        <row r="685">
          <cell r="O685">
            <v>65011</v>
          </cell>
        </row>
        <row r="686">
          <cell r="O686">
            <v>65095</v>
          </cell>
        </row>
        <row r="687">
          <cell r="O687">
            <v>65106</v>
          </cell>
        </row>
        <row r="688">
          <cell r="O688">
            <v>65109</v>
          </cell>
        </row>
        <row r="689">
          <cell r="O689">
            <v>65132</v>
          </cell>
        </row>
        <row r="690">
          <cell r="O690">
            <v>65137</v>
          </cell>
        </row>
        <row r="691">
          <cell r="O691">
            <v>65182</v>
          </cell>
        </row>
        <row r="692">
          <cell r="O692">
            <v>65236</v>
          </cell>
        </row>
        <row r="693">
          <cell r="O693">
            <v>65365</v>
          </cell>
        </row>
        <row r="694">
          <cell r="O694">
            <v>65375</v>
          </cell>
        </row>
        <row r="695">
          <cell r="O695">
            <v>65382</v>
          </cell>
        </row>
        <row r="696">
          <cell r="O696">
            <v>65460</v>
          </cell>
        </row>
        <row r="697">
          <cell r="O697">
            <v>65484</v>
          </cell>
        </row>
        <row r="698">
          <cell r="O698">
            <v>65487</v>
          </cell>
        </row>
        <row r="699">
          <cell r="O699">
            <v>65497</v>
          </cell>
        </row>
        <row r="700">
          <cell r="O700">
            <v>65501</v>
          </cell>
        </row>
        <row r="701">
          <cell r="O701">
            <v>65547</v>
          </cell>
        </row>
        <row r="702">
          <cell r="O702">
            <v>65601</v>
          </cell>
        </row>
        <row r="703">
          <cell r="O703">
            <v>65648</v>
          </cell>
        </row>
        <row r="704">
          <cell r="O704">
            <v>65739</v>
          </cell>
        </row>
        <row r="705">
          <cell r="O705">
            <v>65740</v>
          </cell>
        </row>
        <row r="706">
          <cell r="O706">
            <v>65746</v>
          </cell>
        </row>
        <row r="707">
          <cell r="O707">
            <v>65826</v>
          </cell>
        </row>
        <row r="708">
          <cell r="O708">
            <v>65841</v>
          </cell>
        </row>
        <row r="709">
          <cell r="O709">
            <v>65844</v>
          </cell>
        </row>
        <row r="710">
          <cell r="O710">
            <v>65867</v>
          </cell>
        </row>
        <row r="711">
          <cell r="O711">
            <v>65914</v>
          </cell>
        </row>
        <row r="712">
          <cell r="O712">
            <v>65967</v>
          </cell>
        </row>
        <row r="713">
          <cell r="O713">
            <v>66013</v>
          </cell>
        </row>
        <row r="714">
          <cell r="O714">
            <v>66096</v>
          </cell>
        </row>
        <row r="715">
          <cell r="O715">
            <v>66105</v>
          </cell>
        </row>
        <row r="716">
          <cell r="O716">
            <v>66106</v>
          </cell>
        </row>
        <row r="717">
          <cell r="O717">
            <v>66112</v>
          </cell>
        </row>
        <row r="718">
          <cell r="O718">
            <v>66191</v>
          </cell>
        </row>
        <row r="719">
          <cell r="O719">
            <v>66198</v>
          </cell>
        </row>
        <row r="720">
          <cell r="O720">
            <v>66201</v>
          </cell>
        </row>
        <row r="721">
          <cell r="O721">
            <v>66229</v>
          </cell>
        </row>
        <row r="722">
          <cell r="O722">
            <v>66232</v>
          </cell>
        </row>
        <row r="723">
          <cell r="O723">
            <v>66278</v>
          </cell>
        </row>
        <row r="724">
          <cell r="O724">
            <v>66378</v>
          </cell>
        </row>
        <row r="725">
          <cell r="O725">
            <v>66461</v>
          </cell>
        </row>
        <row r="726">
          <cell r="O726">
            <v>66470</v>
          </cell>
        </row>
        <row r="727">
          <cell r="O727">
            <v>66471</v>
          </cell>
        </row>
        <row r="728">
          <cell r="O728">
            <v>66477</v>
          </cell>
        </row>
        <row r="729">
          <cell r="O729">
            <v>66583</v>
          </cell>
        </row>
        <row r="730">
          <cell r="O730">
            <v>66586</v>
          </cell>
        </row>
        <row r="731">
          <cell r="O731">
            <v>66593</v>
          </cell>
        </row>
        <row r="732">
          <cell r="O732">
            <v>66597</v>
          </cell>
        </row>
        <row r="733">
          <cell r="O733">
            <v>66643</v>
          </cell>
        </row>
        <row r="734">
          <cell r="O734">
            <v>66698</v>
          </cell>
        </row>
        <row r="735">
          <cell r="O735">
            <v>66743</v>
          </cell>
        </row>
        <row r="736">
          <cell r="O736">
            <v>66826</v>
          </cell>
        </row>
        <row r="737">
          <cell r="O737">
            <v>66835</v>
          </cell>
        </row>
        <row r="738">
          <cell r="O738">
            <v>66842</v>
          </cell>
        </row>
        <row r="739">
          <cell r="O739">
            <v>66922</v>
          </cell>
        </row>
        <row r="740">
          <cell r="O740">
            <v>66933</v>
          </cell>
        </row>
        <row r="741">
          <cell r="O741">
            <v>66936</v>
          </cell>
        </row>
        <row r="742">
          <cell r="O742">
            <v>66958</v>
          </cell>
        </row>
        <row r="743">
          <cell r="O743">
            <v>67008</v>
          </cell>
        </row>
        <row r="744">
          <cell r="O744">
            <v>67062</v>
          </cell>
        </row>
        <row r="745">
          <cell r="O745">
            <v>67108</v>
          </cell>
        </row>
        <row r="746">
          <cell r="O746">
            <v>67191</v>
          </cell>
        </row>
        <row r="747">
          <cell r="O747">
            <v>67202</v>
          </cell>
        </row>
        <row r="748">
          <cell r="O748">
            <v>67287</v>
          </cell>
        </row>
        <row r="749">
          <cell r="O749">
            <v>67290</v>
          </cell>
        </row>
        <row r="750">
          <cell r="O750">
            <v>67293</v>
          </cell>
        </row>
        <row r="751">
          <cell r="O751">
            <v>67324</v>
          </cell>
        </row>
        <row r="752">
          <cell r="O752">
            <v>67328</v>
          </cell>
        </row>
        <row r="753">
          <cell r="O753">
            <v>67374</v>
          </cell>
        </row>
        <row r="754">
          <cell r="O754">
            <v>67428</v>
          </cell>
        </row>
        <row r="755">
          <cell r="O755">
            <v>67475</v>
          </cell>
        </row>
        <row r="756">
          <cell r="O756">
            <v>67566</v>
          </cell>
        </row>
        <row r="757">
          <cell r="O757">
            <v>67567</v>
          </cell>
        </row>
        <row r="758">
          <cell r="O758">
            <v>67573</v>
          </cell>
        </row>
        <row r="759">
          <cell r="O759">
            <v>67652</v>
          </cell>
        </row>
        <row r="760">
          <cell r="O760">
            <v>67675</v>
          </cell>
        </row>
        <row r="761">
          <cell r="O761">
            <v>67678</v>
          </cell>
        </row>
        <row r="762">
          <cell r="O762">
            <v>67689</v>
          </cell>
        </row>
        <row r="763">
          <cell r="O763">
            <v>67693</v>
          </cell>
        </row>
        <row r="764">
          <cell r="O764">
            <v>67793</v>
          </cell>
        </row>
        <row r="765">
          <cell r="O765">
            <v>67839</v>
          </cell>
        </row>
        <row r="766">
          <cell r="O766">
            <v>67923</v>
          </cell>
        </row>
        <row r="767">
          <cell r="O767">
            <v>67931</v>
          </cell>
        </row>
        <row r="768">
          <cell r="O768">
            <v>67932</v>
          </cell>
        </row>
        <row r="769">
          <cell r="O769">
            <v>67938</v>
          </cell>
        </row>
        <row r="770">
          <cell r="O770">
            <v>68017</v>
          </cell>
        </row>
        <row r="771">
          <cell r="O771">
            <v>68025</v>
          </cell>
        </row>
        <row r="772">
          <cell r="O772">
            <v>68028</v>
          </cell>
        </row>
        <row r="773">
          <cell r="O773">
            <v>68058</v>
          </cell>
        </row>
        <row r="774">
          <cell r="O774">
            <v>68105</v>
          </cell>
        </row>
        <row r="775">
          <cell r="O775">
            <v>68158</v>
          </cell>
        </row>
        <row r="776">
          <cell r="O776">
            <v>68204</v>
          </cell>
        </row>
        <row r="777">
          <cell r="O777">
            <v>68287</v>
          </cell>
        </row>
        <row r="778">
          <cell r="O778">
            <v>68296</v>
          </cell>
        </row>
        <row r="779">
          <cell r="O779">
            <v>68297</v>
          </cell>
        </row>
        <row r="780">
          <cell r="O780">
            <v>68303</v>
          </cell>
        </row>
        <row r="781">
          <cell r="O781">
            <v>68382</v>
          </cell>
        </row>
        <row r="782">
          <cell r="O782">
            <v>68410</v>
          </cell>
        </row>
        <row r="783">
          <cell r="O783">
            <v>68413</v>
          </cell>
        </row>
        <row r="784">
          <cell r="O784">
            <v>68420</v>
          </cell>
        </row>
        <row r="785">
          <cell r="O785">
            <v>68423</v>
          </cell>
        </row>
        <row r="786">
          <cell r="O786">
            <v>68469</v>
          </cell>
        </row>
        <row r="787">
          <cell r="O787">
            <v>68569</v>
          </cell>
        </row>
        <row r="788">
          <cell r="O788">
            <v>68652</v>
          </cell>
        </row>
        <row r="789">
          <cell r="O789">
            <v>68661</v>
          </cell>
        </row>
        <row r="790">
          <cell r="O790">
            <v>68662</v>
          </cell>
        </row>
        <row r="791">
          <cell r="O791">
            <v>68668</v>
          </cell>
        </row>
        <row r="792">
          <cell r="O792">
            <v>68749</v>
          </cell>
        </row>
        <row r="793">
          <cell r="O793">
            <v>68767</v>
          </cell>
        </row>
        <row r="794">
          <cell r="O794">
            <v>68770</v>
          </cell>
        </row>
        <row r="795">
          <cell r="O795">
            <v>68785</v>
          </cell>
        </row>
        <row r="796">
          <cell r="O796">
            <v>68835</v>
          </cell>
        </row>
        <row r="797">
          <cell r="O797">
            <v>68889</v>
          </cell>
        </row>
        <row r="798">
          <cell r="O798">
            <v>68935</v>
          </cell>
        </row>
        <row r="799">
          <cell r="O799">
            <v>69018</v>
          </cell>
        </row>
        <row r="800">
          <cell r="O800">
            <v>69029</v>
          </cell>
        </row>
        <row r="801">
          <cell r="O801">
            <v>69113</v>
          </cell>
        </row>
        <row r="802">
          <cell r="O802">
            <v>69124</v>
          </cell>
        </row>
        <row r="803">
          <cell r="O803">
            <v>69127</v>
          </cell>
        </row>
        <row r="804">
          <cell r="O804">
            <v>69150</v>
          </cell>
        </row>
        <row r="805">
          <cell r="O805">
            <v>69155</v>
          </cell>
        </row>
        <row r="806">
          <cell r="O806">
            <v>69200</v>
          </cell>
        </row>
        <row r="807">
          <cell r="O807">
            <v>69254</v>
          </cell>
        </row>
        <row r="808">
          <cell r="O808">
            <v>69383</v>
          </cell>
        </row>
        <row r="809">
          <cell r="O809">
            <v>69393</v>
          </cell>
        </row>
        <row r="810">
          <cell r="O810">
            <v>69400</v>
          </cell>
        </row>
        <row r="811">
          <cell r="O811">
            <v>69478</v>
          </cell>
        </row>
        <row r="812">
          <cell r="O812">
            <v>69502</v>
          </cell>
        </row>
        <row r="813">
          <cell r="O813">
            <v>69505</v>
          </cell>
        </row>
        <row r="814">
          <cell r="O814">
            <v>69515</v>
          </cell>
        </row>
        <row r="815">
          <cell r="O815">
            <v>69519</v>
          </cell>
        </row>
        <row r="816">
          <cell r="O816">
            <v>69565</v>
          </cell>
        </row>
        <row r="817">
          <cell r="O817">
            <v>69619</v>
          </cell>
        </row>
        <row r="818">
          <cell r="O818">
            <v>69666</v>
          </cell>
        </row>
        <row r="819">
          <cell r="O819">
            <v>69757</v>
          </cell>
        </row>
        <row r="820">
          <cell r="O820">
            <v>69758</v>
          </cell>
        </row>
        <row r="821">
          <cell r="O821">
            <v>69764</v>
          </cell>
        </row>
        <row r="822">
          <cell r="O822">
            <v>69843</v>
          </cell>
        </row>
        <row r="823">
          <cell r="O823">
            <v>69859</v>
          </cell>
        </row>
        <row r="824">
          <cell r="O824">
            <v>69862</v>
          </cell>
        </row>
        <row r="825">
          <cell r="O825">
            <v>69880</v>
          </cell>
        </row>
        <row r="826">
          <cell r="O826">
            <v>69884</v>
          </cell>
        </row>
        <row r="827">
          <cell r="O827">
            <v>69984</v>
          </cell>
        </row>
        <row r="828">
          <cell r="O828">
            <v>70030</v>
          </cell>
        </row>
        <row r="829">
          <cell r="O829">
            <v>70114</v>
          </cell>
        </row>
        <row r="830">
          <cell r="O830">
            <v>70122</v>
          </cell>
        </row>
        <row r="831">
          <cell r="O831">
            <v>70123</v>
          </cell>
        </row>
        <row r="832">
          <cell r="O832">
            <v>70129</v>
          </cell>
        </row>
        <row r="833">
          <cell r="O833">
            <v>70209</v>
          </cell>
        </row>
        <row r="834">
          <cell r="O834">
            <v>70216</v>
          </cell>
        </row>
        <row r="835">
          <cell r="O835">
            <v>70219</v>
          </cell>
        </row>
        <row r="836">
          <cell r="O836">
            <v>70247</v>
          </cell>
        </row>
        <row r="837">
          <cell r="O837">
            <v>70250</v>
          </cell>
        </row>
        <row r="838">
          <cell r="O838">
            <v>70296</v>
          </cell>
        </row>
        <row r="839">
          <cell r="O839">
            <v>70396</v>
          </cell>
        </row>
        <row r="840">
          <cell r="O840">
            <v>70479</v>
          </cell>
        </row>
        <row r="841">
          <cell r="O841">
            <v>70488</v>
          </cell>
        </row>
        <row r="842">
          <cell r="O842">
            <v>70489</v>
          </cell>
        </row>
        <row r="843">
          <cell r="O843">
            <v>70495</v>
          </cell>
        </row>
        <row r="844">
          <cell r="O844">
            <v>70594</v>
          </cell>
        </row>
        <row r="845">
          <cell r="O845">
            <v>70597</v>
          </cell>
        </row>
        <row r="846">
          <cell r="O846">
            <v>70611</v>
          </cell>
        </row>
        <row r="847">
          <cell r="O847">
            <v>70615</v>
          </cell>
        </row>
        <row r="848">
          <cell r="O848">
            <v>70661</v>
          </cell>
        </row>
        <row r="849">
          <cell r="O849">
            <v>70716</v>
          </cell>
        </row>
        <row r="850">
          <cell r="O850">
            <v>70761</v>
          </cell>
        </row>
        <row r="851">
          <cell r="O851">
            <v>70844</v>
          </cell>
        </row>
        <row r="852">
          <cell r="O852">
            <v>70853</v>
          </cell>
        </row>
        <row r="853">
          <cell r="O853">
            <v>70860</v>
          </cell>
        </row>
        <row r="854">
          <cell r="O854">
            <v>70940</v>
          </cell>
        </row>
        <row r="855">
          <cell r="O855">
            <v>70951</v>
          </cell>
        </row>
        <row r="856">
          <cell r="O856">
            <v>70954</v>
          </cell>
        </row>
        <row r="857">
          <cell r="O857">
            <v>70976</v>
          </cell>
        </row>
        <row r="858">
          <cell r="O858">
            <v>71026</v>
          </cell>
        </row>
        <row r="859">
          <cell r="O859">
            <v>71080</v>
          </cell>
        </row>
        <row r="860">
          <cell r="O860">
            <v>71126</v>
          </cell>
        </row>
        <row r="861">
          <cell r="O861">
            <v>71209</v>
          </cell>
        </row>
        <row r="862">
          <cell r="O862">
            <v>71220</v>
          </cell>
        </row>
        <row r="863">
          <cell r="O863">
            <v>71304</v>
          </cell>
        </row>
        <row r="864">
          <cell r="O864">
            <v>71336</v>
          </cell>
        </row>
        <row r="865">
          <cell r="O865">
            <v>71339</v>
          </cell>
        </row>
        <row r="866">
          <cell r="O866">
            <v>71341</v>
          </cell>
        </row>
        <row r="867">
          <cell r="O867">
            <v>71346</v>
          </cell>
        </row>
        <row r="868">
          <cell r="O868">
            <v>71391</v>
          </cell>
        </row>
        <row r="869">
          <cell r="O869">
            <v>71445</v>
          </cell>
        </row>
        <row r="870">
          <cell r="O870">
            <v>71574</v>
          </cell>
        </row>
        <row r="871">
          <cell r="O871">
            <v>71584</v>
          </cell>
        </row>
        <row r="872">
          <cell r="O872">
            <v>71591</v>
          </cell>
        </row>
        <row r="873">
          <cell r="O873">
            <v>71670</v>
          </cell>
        </row>
        <row r="874">
          <cell r="O874">
            <v>71693</v>
          </cell>
        </row>
        <row r="875">
          <cell r="O875">
            <v>71696</v>
          </cell>
        </row>
        <row r="876">
          <cell r="O876">
            <v>71707</v>
          </cell>
        </row>
        <row r="877">
          <cell r="O877">
            <v>71711</v>
          </cell>
        </row>
        <row r="878">
          <cell r="O878">
            <v>71811</v>
          </cell>
        </row>
        <row r="879">
          <cell r="O879">
            <v>71857</v>
          </cell>
        </row>
        <row r="880">
          <cell r="O880">
            <v>71941</v>
          </cell>
        </row>
        <row r="881">
          <cell r="O881">
            <v>71949</v>
          </cell>
        </row>
        <row r="882">
          <cell r="O882">
            <v>71950</v>
          </cell>
        </row>
        <row r="883">
          <cell r="O883">
            <v>71956</v>
          </cell>
        </row>
        <row r="884">
          <cell r="O884">
            <v>72035</v>
          </cell>
        </row>
        <row r="885">
          <cell r="O885">
            <v>72043</v>
          </cell>
        </row>
        <row r="886">
          <cell r="O886">
            <v>72046</v>
          </cell>
        </row>
        <row r="887">
          <cell r="O887">
            <v>72076</v>
          </cell>
        </row>
        <row r="888">
          <cell r="O888">
            <v>72123</v>
          </cell>
        </row>
        <row r="889">
          <cell r="O889">
            <v>72176</v>
          </cell>
        </row>
        <row r="890">
          <cell r="O890">
            <v>72222</v>
          </cell>
        </row>
        <row r="891">
          <cell r="O891">
            <v>72305</v>
          </cell>
        </row>
        <row r="892">
          <cell r="O892">
            <v>72314</v>
          </cell>
        </row>
        <row r="893">
          <cell r="O893">
            <v>72315</v>
          </cell>
        </row>
        <row r="894">
          <cell r="O894">
            <v>72321</v>
          </cell>
        </row>
        <row r="895">
          <cell r="O895">
            <v>72400</v>
          </cell>
        </row>
        <row r="896">
          <cell r="O896">
            <v>72428</v>
          </cell>
        </row>
        <row r="897">
          <cell r="O897">
            <v>72431</v>
          </cell>
        </row>
        <row r="898">
          <cell r="O898">
            <v>72438</v>
          </cell>
        </row>
        <row r="899">
          <cell r="O899">
            <v>72441</v>
          </cell>
        </row>
        <row r="900">
          <cell r="O900">
            <v>72487</v>
          </cell>
        </row>
        <row r="901">
          <cell r="O901">
            <v>72587</v>
          </cell>
        </row>
        <row r="902">
          <cell r="O902">
            <v>72670</v>
          </cell>
        </row>
        <row r="903">
          <cell r="O903">
            <v>72679</v>
          </cell>
        </row>
        <row r="904">
          <cell r="O904">
            <v>72680</v>
          </cell>
        </row>
        <row r="905">
          <cell r="O905">
            <v>72686</v>
          </cell>
        </row>
        <row r="906">
          <cell r="O906">
            <v>72785</v>
          </cell>
        </row>
        <row r="907">
          <cell r="O907">
            <v>72788</v>
          </cell>
        </row>
        <row r="908">
          <cell r="O908">
            <v>72802</v>
          </cell>
        </row>
        <row r="909">
          <cell r="O909">
            <v>72806</v>
          </cell>
        </row>
        <row r="910">
          <cell r="O910">
            <v>72852</v>
          </cell>
        </row>
        <row r="911">
          <cell r="O911">
            <v>72907</v>
          </cell>
        </row>
        <row r="912">
          <cell r="O912">
            <v>72952</v>
          </cell>
        </row>
        <row r="913">
          <cell r="O913">
            <v>73035</v>
          </cell>
        </row>
        <row r="914">
          <cell r="O914">
            <v>73044</v>
          </cell>
        </row>
        <row r="915">
          <cell r="O915">
            <v>73051</v>
          </cell>
        </row>
        <row r="916">
          <cell r="O916">
            <v>73131</v>
          </cell>
        </row>
        <row r="917">
          <cell r="O917">
            <v>73135</v>
          </cell>
        </row>
        <row r="918">
          <cell r="O918">
            <v>73138</v>
          </cell>
        </row>
        <row r="919">
          <cell r="O919">
            <v>73167</v>
          </cell>
        </row>
        <row r="920">
          <cell r="O920">
            <v>73217</v>
          </cell>
        </row>
        <row r="921">
          <cell r="O921">
            <v>73271</v>
          </cell>
        </row>
        <row r="922">
          <cell r="O922">
            <v>73317</v>
          </cell>
        </row>
        <row r="923">
          <cell r="O923">
            <v>73400</v>
          </cell>
        </row>
        <row r="924">
          <cell r="O924">
            <v>73411</v>
          </cell>
        </row>
        <row r="925">
          <cell r="O925">
            <v>73495</v>
          </cell>
        </row>
        <row r="926">
          <cell r="O926">
            <v>73520</v>
          </cell>
        </row>
        <row r="927">
          <cell r="O927">
            <v>73523</v>
          </cell>
        </row>
        <row r="928">
          <cell r="O928">
            <v>73532</v>
          </cell>
        </row>
        <row r="929">
          <cell r="O929">
            <v>73537</v>
          </cell>
        </row>
        <row r="930">
          <cell r="O930">
            <v>73582</v>
          </cell>
        </row>
        <row r="931">
          <cell r="O931">
            <v>73636</v>
          </cell>
        </row>
        <row r="932">
          <cell r="O932">
            <v>73765</v>
          </cell>
        </row>
        <row r="933">
          <cell r="O933">
            <v>73775</v>
          </cell>
        </row>
        <row r="934">
          <cell r="O934">
            <v>73782</v>
          </cell>
        </row>
        <row r="935">
          <cell r="O935">
            <v>73860</v>
          </cell>
        </row>
        <row r="936">
          <cell r="O936">
            <v>73877</v>
          </cell>
        </row>
        <row r="937">
          <cell r="O937">
            <v>73880</v>
          </cell>
        </row>
        <row r="938">
          <cell r="O938">
            <v>73897</v>
          </cell>
        </row>
        <row r="939">
          <cell r="O939">
            <v>73901</v>
          </cell>
        </row>
        <row r="940">
          <cell r="O940">
            <v>73947</v>
          </cell>
        </row>
        <row r="941">
          <cell r="O941">
            <v>74001</v>
          </cell>
        </row>
        <row r="942">
          <cell r="O942">
            <v>74048</v>
          </cell>
        </row>
        <row r="943">
          <cell r="O943">
            <v>74139</v>
          </cell>
        </row>
        <row r="944">
          <cell r="O944">
            <v>74140</v>
          </cell>
        </row>
        <row r="945">
          <cell r="O945">
            <v>74146</v>
          </cell>
        </row>
        <row r="946">
          <cell r="O946">
            <v>74225</v>
          </cell>
        </row>
        <row r="947">
          <cell r="O947">
            <v>74227</v>
          </cell>
        </row>
        <row r="948">
          <cell r="O948">
            <v>74230</v>
          </cell>
        </row>
        <row r="949">
          <cell r="O949">
            <v>74262</v>
          </cell>
        </row>
        <row r="950">
          <cell r="O950">
            <v>74266</v>
          </cell>
        </row>
        <row r="951">
          <cell r="O951">
            <v>74366</v>
          </cell>
        </row>
        <row r="952">
          <cell r="O952">
            <v>74412</v>
          </cell>
        </row>
        <row r="953">
          <cell r="O953">
            <v>74496</v>
          </cell>
        </row>
        <row r="954">
          <cell r="O954">
            <v>74504</v>
          </cell>
        </row>
        <row r="955">
          <cell r="O955">
            <v>74505</v>
          </cell>
        </row>
        <row r="956">
          <cell r="O956">
            <v>74511</v>
          </cell>
        </row>
        <row r="957">
          <cell r="O957">
            <v>74591</v>
          </cell>
        </row>
        <row r="958">
          <cell r="O958">
            <v>74612</v>
          </cell>
        </row>
        <row r="959">
          <cell r="O959">
            <v>74615</v>
          </cell>
        </row>
        <row r="960">
          <cell r="O960">
            <v>74629</v>
          </cell>
        </row>
        <row r="961">
          <cell r="O961">
            <v>74632</v>
          </cell>
        </row>
        <row r="962">
          <cell r="O962">
            <v>74678</v>
          </cell>
        </row>
        <row r="963">
          <cell r="O963">
            <v>74778</v>
          </cell>
        </row>
        <row r="964">
          <cell r="O964">
            <v>74861</v>
          </cell>
        </row>
        <row r="965">
          <cell r="O965">
            <v>74870</v>
          </cell>
        </row>
        <row r="966">
          <cell r="O966">
            <v>74871</v>
          </cell>
        </row>
        <row r="967">
          <cell r="O967">
            <v>74877</v>
          </cell>
        </row>
        <row r="968">
          <cell r="O968">
            <v>74969</v>
          </cell>
        </row>
        <row r="969">
          <cell r="O969">
            <v>74972</v>
          </cell>
        </row>
        <row r="970">
          <cell r="O970">
            <v>74993</v>
          </cell>
        </row>
        <row r="971">
          <cell r="O971">
            <v>74997</v>
          </cell>
        </row>
        <row r="972">
          <cell r="O972">
            <v>75043</v>
          </cell>
        </row>
        <row r="973">
          <cell r="O973">
            <v>75098</v>
          </cell>
        </row>
        <row r="974">
          <cell r="O974">
            <v>75143</v>
          </cell>
        </row>
        <row r="975">
          <cell r="O975">
            <v>75226</v>
          </cell>
        </row>
        <row r="976">
          <cell r="O976">
            <v>75235</v>
          </cell>
        </row>
        <row r="977">
          <cell r="O977">
            <v>75242</v>
          </cell>
        </row>
        <row r="978">
          <cell r="O978">
            <v>75322</v>
          </cell>
        </row>
        <row r="979">
          <cell r="O979">
            <v>75347</v>
          </cell>
        </row>
        <row r="980">
          <cell r="O980">
            <v>75350</v>
          </cell>
        </row>
        <row r="981">
          <cell r="O981">
            <v>75358</v>
          </cell>
        </row>
        <row r="982">
          <cell r="O982">
            <v>75408</v>
          </cell>
        </row>
        <row r="983">
          <cell r="O983">
            <v>75462</v>
          </cell>
        </row>
        <row r="984">
          <cell r="O984">
            <v>75508</v>
          </cell>
        </row>
        <row r="985">
          <cell r="O985">
            <v>75591</v>
          </cell>
        </row>
        <row r="986">
          <cell r="O986">
            <v>75602</v>
          </cell>
        </row>
        <row r="987">
          <cell r="O987">
            <v>75686</v>
          </cell>
        </row>
        <row r="988">
          <cell r="O988">
            <v>75704</v>
          </cell>
        </row>
        <row r="989">
          <cell r="O989">
            <v>75707</v>
          </cell>
        </row>
        <row r="990">
          <cell r="O990">
            <v>75723</v>
          </cell>
        </row>
        <row r="991">
          <cell r="O991">
            <v>75728</v>
          </cell>
        </row>
        <row r="992">
          <cell r="O992">
            <v>75773</v>
          </cell>
        </row>
        <row r="993">
          <cell r="O993">
            <v>75827</v>
          </cell>
        </row>
        <row r="994">
          <cell r="O994">
            <v>75956</v>
          </cell>
        </row>
        <row r="995">
          <cell r="O995">
            <v>75966</v>
          </cell>
        </row>
        <row r="996">
          <cell r="O996">
            <v>75973</v>
          </cell>
        </row>
        <row r="997">
          <cell r="O997">
            <v>76052</v>
          </cell>
        </row>
        <row r="998">
          <cell r="O998">
            <v>76061</v>
          </cell>
        </row>
        <row r="999">
          <cell r="O999">
            <v>76064</v>
          </cell>
        </row>
        <row r="1000">
          <cell r="O1000">
            <v>76089</v>
          </cell>
        </row>
        <row r="1001">
          <cell r="O1001">
            <v>76093</v>
          </cell>
        </row>
        <row r="1002">
          <cell r="O1002">
            <v>76193</v>
          </cell>
        </row>
        <row r="1003">
          <cell r="O1003">
            <v>76239</v>
          </cell>
        </row>
        <row r="1004">
          <cell r="O1004">
            <v>76323</v>
          </cell>
        </row>
        <row r="1005">
          <cell r="O1005">
            <v>76331</v>
          </cell>
        </row>
        <row r="1006">
          <cell r="O1006">
            <v>76332</v>
          </cell>
        </row>
        <row r="1007">
          <cell r="O1007">
            <v>76338</v>
          </cell>
        </row>
        <row r="1008">
          <cell r="O1008">
            <v>76417</v>
          </cell>
        </row>
        <row r="1009">
          <cell r="O1009">
            <v>76446</v>
          </cell>
        </row>
        <row r="1010">
          <cell r="O1010">
            <v>76449</v>
          </cell>
        </row>
        <row r="1011">
          <cell r="O1011">
            <v>76458</v>
          </cell>
        </row>
        <row r="1012">
          <cell r="O1012">
            <v>76505</v>
          </cell>
        </row>
        <row r="1013">
          <cell r="O1013">
            <v>76558</v>
          </cell>
        </row>
        <row r="1014">
          <cell r="O1014">
            <v>76604</v>
          </cell>
        </row>
        <row r="1015">
          <cell r="O1015">
            <v>76687</v>
          </cell>
        </row>
        <row r="1016">
          <cell r="O1016">
            <v>76696</v>
          </cell>
        </row>
        <row r="1017">
          <cell r="O1017">
            <v>76697</v>
          </cell>
        </row>
        <row r="1018">
          <cell r="O1018">
            <v>76703</v>
          </cell>
        </row>
        <row r="1019">
          <cell r="O1019">
            <v>76782</v>
          </cell>
        </row>
        <row r="1020">
          <cell r="O1020">
            <v>76796</v>
          </cell>
        </row>
        <row r="1021">
          <cell r="O1021">
            <v>76799</v>
          </cell>
        </row>
        <row r="1022">
          <cell r="O1022">
            <v>76820</v>
          </cell>
        </row>
        <row r="1023">
          <cell r="O1023">
            <v>76823</v>
          </cell>
        </row>
        <row r="1024">
          <cell r="O1024">
            <v>76869</v>
          </cell>
        </row>
        <row r="1025">
          <cell r="O1025">
            <v>76969</v>
          </cell>
        </row>
        <row r="1026">
          <cell r="O1026">
            <v>77052</v>
          </cell>
        </row>
        <row r="1027">
          <cell r="O1027">
            <v>77061</v>
          </cell>
        </row>
        <row r="1028">
          <cell r="O1028">
            <v>77062</v>
          </cell>
        </row>
        <row r="1029">
          <cell r="O1029">
            <v>77068</v>
          </cell>
        </row>
        <row r="1030">
          <cell r="O1030">
            <v>77153</v>
          </cell>
        </row>
        <row r="1031">
          <cell r="O1031">
            <v>77156</v>
          </cell>
        </row>
        <row r="1032">
          <cell r="O1032">
            <v>77184</v>
          </cell>
        </row>
        <row r="1033">
          <cell r="O1033">
            <v>77188</v>
          </cell>
        </row>
        <row r="1034">
          <cell r="O1034">
            <v>77234</v>
          </cell>
        </row>
        <row r="1035">
          <cell r="O1035">
            <v>77289</v>
          </cell>
        </row>
        <row r="1036">
          <cell r="O1036">
            <v>77334</v>
          </cell>
        </row>
        <row r="1037">
          <cell r="O1037">
            <v>77417</v>
          </cell>
        </row>
        <row r="1038">
          <cell r="O1038">
            <v>77426</v>
          </cell>
        </row>
        <row r="1039">
          <cell r="O1039">
            <v>77433</v>
          </cell>
        </row>
        <row r="1040">
          <cell r="O1040">
            <v>77513</v>
          </cell>
        </row>
        <row r="1041">
          <cell r="O1041">
            <v>77538</v>
          </cell>
        </row>
        <row r="1042">
          <cell r="O1042">
            <v>77541</v>
          </cell>
        </row>
        <row r="1043">
          <cell r="O1043">
            <v>77550</v>
          </cell>
        </row>
        <row r="1044">
          <cell r="O1044">
            <v>77555</v>
          </cell>
        </row>
        <row r="1045">
          <cell r="O1045">
            <v>77600</v>
          </cell>
        </row>
        <row r="1046">
          <cell r="O1046">
            <v>77654</v>
          </cell>
        </row>
        <row r="1047">
          <cell r="O1047">
            <v>77783</v>
          </cell>
        </row>
        <row r="1048">
          <cell r="O1048">
            <v>77793</v>
          </cell>
        </row>
        <row r="1049">
          <cell r="O1049">
            <v>77800</v>
          </cell>
        </row>
        <row r="1050">
          <cell r="O1050">
            <v>77878</v>
          </cell>
        </row>
        <row r="1051">
          <cell r="O1051">
            <v>77888</v>
          </cell>
        </row>
        <row r="1052">
          <cell r="O1052">
            <v>77891</v>
          </cell>
        </row>
        <row r="1053">
          <cell r="O1053">
            <v>77915</v>
          </cell>
        </row>
        <row r="1054">
          <cell r="O1054">
            <v>77919</v>
          </cell>
        </row>
        <row r="1055">
          <cell r="O1055">
            <v>77965</v>
          </cell>
        </row>
        <row r="1056">
          <cell r="O1056">
            <v>78019</v>
          </cell>
        </row>
        <row r="1057">
          <cell r="O1057">
            <v>78066</v>
          </cell>
        </row>
        <row r="1058">
          <cell r="O1058">
            <v>78157</v>
          </cell>
        </row>
        <row r="1059">
          <cell r="O1059">
            <v>78158</v>
          </cell>
        </row>
        <row r="1060">
          <cell r="O1060">
            <v>78164</v>
          </cell>
        </row>
        <row r="1061">
          <cell r="O1061">
            <v>78243</v>
          </cell>
        </row>
        <row r="1062">
          <cell r="O1062">
            <v>78273</v>
          </cell>
        </row>
        <row r="1063">
          <cell r="O1063">
            <v>78276</v>
          </cell>
        </row>
        <row r="1064">
          <cell r="O1064">
            <v>78280</v>
          </cell>
        </row>
        <row r="1065">
          <cell r="O1065">
            <v>78284</v>
          </cell>
        </row>
        <row r="1066">
          <cell r="O1066">
            <v>78384</v>
          </cell>
        </row>
        <row r="1067">
          <cell r="O1067">
            <v>78430</v>
          </cell>
        </row>
        <row r="1068">
          <cell r="O1068">
            <v>78514</v>
          </cell>
        </row>
        <row r="1069">
          <cell r="O1069">
            <v>78522</v>
          </cell>
        </row>
        <row r="1070">
          <cell r="O1070">
            <v>78523</v>
          </cell>
        </row>
        <row r="1071">
          <cell r="O1071">
            <v>78529</v>
          </cell>
        </row>
        <row r="1072">
          <cell r="O1072">
            <v>78608</v>
          </cell>
        </row>
        <row r="1073">
          <cell r="O1073">
            <v>78630</v>
          </cell>
        </row>
        <row r="1074">
          <cell r="O1074">
            <v>78633</v>
          </cell>
        </row>
        <row r="1075">
          <cell r="O1075">
            <v>78649</v>
          </cell>
        </row>
        <row r="1076">
          <cell r="O1076">
            <v>78696</v>
          </cell>
        </row>
        <row r="1077">
          <cell r="O1077">
            <v>78749</v>
          </cell>
        </row>
        <row r="1078">
          <cell r="O1078">
            <v>78795</v>
          </cell>
        </row>
        <row r="1079">
          <cell r="O1079">
            <v>78878</v>
          </cell>
        </row>
        <row r="1080">
          <cell r="O1080">
            <v>78887</v>
          </cell>
        </row>
        <row r="1081">
          <cell r="O1081">
            <v>78888</v>
          </cell>
        </row>
        <row r="1082">
          <cell r="O1082">
            <v>78894</v>
          </cell>
        </row>
        <row r="1083">
          <cell r="O1083">
            <v>78980</v>
          </cell>
        </row>
        <row r="1084">
          <cell r="O1084">
            <v>78983</v>
          </cell>
        </row>
        <row r="1085">
          <cell r="O1085">
            <v>79011</v>
          </cell>
        </row>
        <row r="1086">
          <cell r="O1086">
            <v>79015</v>
          </cell>
        </row>
        <row r="1087">
          <cell r="O1087">
            <v>79061</v>
          </cell>
        </row>
        <row r="1088">
          <cell r="O1088">
            <v>79116</v>
          </cell>
        </row>
        <row r="1089">
          <cell r="O1089">
            <v>79161</v>
          </cell>
        </row>
        <row r="1090">
          <cell r="O1090">
            <v>79244</v>
          </cell>
        </row>
        <row r="1091">
          <cell r="O1091">
            <v>79253</v>
          </cell>
        </row>
        <row r="1092">
          <cell r="O1092">
            <v>79260</v>
          </cell>
        </row>
        <row r="1093">
          <cell r="O1093">
            <v>79340</v>
          </cell>
        </row>
        <row r="1094">
          <cell r="O1094">
            <v>79365</v>
          </cell>
        </row>
        <row r="1095">
          <cell r="O1095">
            <v>79368</v>
          </cell>
        </row>
        <row r="1096">
          <cell r="O1096">
            <v>79376</v>
          </cell>
        </row>
        <row r="1097">
          <cell r="O1097">
            <v>79426</v>
          </cell>
        </row>
        <row r="1098">
          <cell r="O1098">
            <v>79480</v>
          </cell>
        </row>
        <row r="1099">
          <cell r="O1099">
            <v>79526</v>
          </cell>
        </row>
        <row r="1100">
          <cell r="O1100">
            <v>79609</v>
          </cell>
        </row>
        <row r="1101">
          <cell r="O1101">
            <v>79620</v>
          </cell>
        </row>
        <row r="1102">
          <cell r="O1102">
            <v>79704</v>
          </cell>
        </row>
        <row r="1103">
          <cell r="O1103">
            <v>79722</v>
          </cell>
        </row>
        <row r="1104">
          <cell r="O1104">
            <v>79725</v>
          </cell>
        </row>
        <row r="1105">
          <cell r="O1105">
            <v>79741</v>
          </cell>
        </row>
        <row r="1106">
          <cell r="O1106">
            <v>79746</v>
          </cell>
        </row>
        <row r="1107">
          <cell r="O1107">
            <v>79791</v>
          </cell>
        </row>
        <row r="1108">
          <cell r="O1108">
            <v>79845</v>
          </cell>
        </row>
        <row r="1109">
          <cell r="O1109">
            <v>79974</v>
          </cell>
        </row>
        <row r="1110">
          <cell r="O1110">
            <v>79984</v>
          </cell>
        </row>
        <row r="1111">
          <cell r="O1111">
            <v>79991</v>
          </cell>
        </row>
        <row r="1112">
          <cell r="O1112">
            <v>80069</v>
          </cell>
        </row>
        <row r="1113">
          <cell r="O1113">
            <v>80072</v>
          </cell>
        </row>
        <row r="1114">
          <cell r="O1114">
            <v>80075</v>
          </cell>
        </row>
        <row r="1115">
          <cell r="O1115">
            <v>80106</v>
          </cell>
        </row>
        <row r="1116">
          <cell r="O1116">
            <v>80110</v>
          </cell>
        </row>
        <row r="1117">
          <cell r="O1117">
            <v>80156</v>
          </cell>
        </row>
        <row r="1118">
          <cell r="O1118">
            <v>80210</v>
          </cell>
        </row>
        <row r="1119">
          <cell r="O1119">
            <v>80257</v>
          </cell>
        </row>
        <row r="1120">
          <cell r="O1120">
            <v>80348</v>
          </cell>
        </row>
        <row r="1121">
          <cell r="O1121">
            <v>80349</v>
          </cell>
        </row>
        <row r="1122">
          <cell r="O1122">
            <v>80355</v>
          </cell>
        </row>
        <row r="1123">
          <cell r="O1123">
            <v>80435</v>
          </cell>
        </row>
        <row r="1124">
          <cell r="O1124">
            <v>80457</v>
          </cell>
        </row>
        <row r="1125">
          <cell r="O1125">
            <v>80460</v>
          </cell>
        </row>
        <row r="1126">
          <cell r="O1126">
            <v>80476</v>
          </cell>
        </row>
        <row r="1127">
          <cell r="O1127">
            <v>80523</v>
          </cell>
        </row>
        <row r="1128">
          <cell r="O1128">
            <v>80576</v>
          </cell>
        </row>
        <row r="1129">
          <cell r="O1129">
            <v>80622</v>
          </cell>
        </row>
        <row r="1130">
          <cell r="O1130">
            <v>80705</v>
          </cell>
        </row>
        <row r="1131">
          <cell r="O1131">
            <v>80714</v>
          </cell>
        </row>
        <row r="1132">
          <cell r="O1132">
            <v>80715</v>
          </cell>
        </row>
        <row r="1133">
          <cell r="O1133">
            <v>80721</v>
          </cell>
        </row>
        <row r="1134">
          <cell r="O1134">
            <v>80800</v>
          </cell>
        </row>
        <row r="1135">
          <cell r="O1135">
            <v>80814</v>
          </cell>
        </row>
        <row r="1136">
          <cell r="O1136">
            <v>80817</v>
          </cell>
        </row>
        <row r="1137">
          <cell r="O1137">
            <v>80838</v>
          </cell>
        </row>
        <row r="1138">
          <cell r="O1138">
            <v>80841</v>
          </cell>
        </row>
        <row r="1139">
          <cell r="O1139">
            <v>80887</v>
          </cell>
        </row>
        <row r="1140">
          <cell r="O1140">
            <v>80987</v>
          </cell>
        </row>
        <row r="1141">
          <cell r="O1141">
            <v>81070</v>
          </cell>
        </row>
        <row r="1142">
          <cell r="O1142">
            <v>81079</v>
          </cell>
        </row>
        <row r="1143">
          <cell r="O1143">
            <v>81080</v>
          </cell>
        </row>
        <row r="1144">
          <cell r="O1144">
            <v>81086</v>
          </cell>
        </row>
        <row r="1145">
          <cell r="O1145">
            <v>81171</v>
          </cell>
        </row>
        <row r="1146">
          <cell r="O1146">
            <v>81174</v>
          </cell>
        </row>
        <row r="1147">
          <cell r="O1147">
            <v>81202</v>
          </cell>
        </row>
        <row r="1148">
          <cell r="O1148">
            <v>81206</v>
          </cell>
        </row>
        <row r="1149">
          <cell r="O1149">
            <v>81252</v>
          </cell>
        </row>
        <row r="1150">
          <cell r="O1150">
            <v>81307</v>
          </cell>
        </row>
        <row r="1151">
          <cell r="O1151">
            <v>81352</v>
          </cell>
        </row>
        <row r="1152">
          <cell r="O1152">
            <v>81435</v>
          </cell>
        </row>
        <row r="1153">
          <cell r="O1153">
            <v>81444</v>
          </cell>
        </row>
        <row r="1154">
          <cell r="O1154">
            <v>81451</v>
          </cell>
        </row>
        <row r="1155">
          <cell r="O1155">
            <v>81531</v>
          </cell>
        </row>
        <row r="1156">
          <cell r="O1156">
            <v>81549</v>
          </cell>
        </row>
        <row r="1157">
          <cell r="O1157">
            <v>81552</v>
          </cell>
        </row>
        <row r="1158">
          <cell r="O1158">
            <v>81567</v>
          </cell>
        </row>
        <row r="1159">
          <cell r="O1159">
            <v>81617</v>
          </cell>
        </row>
        <row r="1160">
          <cell r="O1160">
            <v>81671</v>
          </cell>
        </row>
        <row r="1161">
          <cell r="O1161">
            <v>81717</v>
          </cell>
        </row>
        <row r="1162">
          <cell r="O1162">
            <v>81800</v>
          </cell>
        </row>
        <row r="1163">
          <cell r="O1163">
            <v>81811</v>
          </cell>
        </row>
        <row r="1164">
          <cell r="O1164">
            <v>81896</v>
          </cell>
        </row>
        <row r="1165">
          <cell r="O1165">
            <v>81906</v>
          </cell>
        </row>
        <row r="1166">
          <cell r="O1166">
            <v>81909</v>
          </cell>
        </row>
        <row r="1167">
          <cell r="O1167">
            <v>81933</v>
          </cell>
        </row>
        <row r="1168">
          <cell r="O1168">
            <v>81937</v>
          </cell>
        </row>
        <row r="1169">
          <cell r="O1169">
            <v>81983</v>
          </cell>
        </row>
        <row r="1170">
          <cell r="O1170">
            <v>82037</v>
          </cell>
        </row>
        <row r="1171">
          <cell r="O1171">
            <v>82084</v>
          </cell>
        </row>
        <row r="1172">
          <cell r="O1172">
            <v>82175</v>
          </cell>
        </row>
        <row r="1173">
          <cell r="O1173">
            <v>82176</v>
          </cell>
        </row>
        <row r="1174">
          <cell r="O1174">
            <v>82182</v>
          </cell>
        </row>
        <row r="1175">
          <cell r="O1175">
            <v>82261</v>
          </cell>
        </row>
        <row r="1176">
          <cell r="O1176">
            <v>82291</v>
          </cell>
        </row>
        <row r="1177">
          <cell r="O1177">
            <v>82294</v>
          </cell>
        </row>
        <row r="1178">
          <cell r="O1178">
            <v>82298</v>
          </cell>
        </row>
        <row r="1179">
          <cell r="O1179">
            <v>82302</v>
          </cell>
        </row>
        <row r="1180">
          <cell r="O1180">
            <v>82402</v>
          </cell>
        </row>
        <row r="1181">
          <cell r="O1181">
            <v>82448</v>
          </cell>
        </row>
        <row r="1182">
          <cell r="O1182">
            <v>82532</v>
          </cell>
        </row>
        <row r="1183">
          <cell r="O1183">
            <v>82540</v>
          </cell>
        </row>
        <row r="1184">
          <cell r="O1184">
            <v>82541</v>
          </cell>
        </row>
        <row r="1185">
          <cell r="O1185">
            <v>82547</v>
          </cell>
        </row>
        <row r="1186">
          <cell r="O1186">
            <v>82626</v>
          </cell>
        </row>
        <row r="1187">
          <cell r="O1187">
            <v>82648</v>
          </cell>
        </row>
        <row r="1188">
          <cell r="O1188">
            <v>82651</v>
          </cell>
        </row>
        <row r="1189">
          <cell r="O1189">
            <v>82667</v>
          </cell>
        </row>
        <row r="1190">
          <cell r="O1190">
            <v>82714</v>
          </cell>
        </row>
        <row r="1191">
          <cell r="O1191">
            <v>82767</v>
          </cell>
        </row>
        <row r="1192">
          <cell r="O1192">
            <v>82813</v>
          </cell>
        </row>
        <row r="1193">
          <cell r="O1193">
            <v>82896</v>
          </cell>
        </row>
        <row r="1194">
          <cell r="O1194">
            <v>82905</v>
          </cell>
        </row>
        <row r="1195">
          <cell r="O1195">
            <v>82906</v>
          </cell>
        </row>
        <row r="1196">
          <cell r="O1196">
            <v>82912</v>
          </cell>
        </row>
        <row r="1197">
          <cell r="O1197">
            <v>82991</v>
          </cell>
        </row>
        <row r="1198">
          <cell r="O1198">
            <v>82998</v>
          </cell>
        </row>
        <row r="1199">
          <cell r="O1199">
            <v>83001</v>
          </cell>
        </row>
        <row r="1200">
          <cell r="O1200">
            <v>83029</v>
          </cell>
        </row>
        <row r="1201">
          <cell r="O1201">
            <v>83032</v>
          </cell>
        </row>
        <row r="1202">
          <cell r="O1202">
            <v>83078</v>
          </cell>
        </row>
        <row r="1203">
          <cell r="O1203">
            <v>83178</v>
          </cell>
        </row>
        <row r="1204">
          <cell r="O1204">
            <v>83261</v>
          </cell>
        </row>
        <row r="1205">
          <cell r="O1205">
            <v>83270</v>
          </cell>
        </row>
        <row r="1206">
          <cell r="O1206">
            <v>83271</v>
          </cell>
        </row>
        <row r="1207">
          <cell r="O1207">
            <v>83277</v>
          </cell>
        </row>
        <row r="1208">
          <cell r="O1208">
            <v>83358</v>
          </cell>
        </row>
        <row r="1209">
          <cell r="O1209">
            <v>83383</v>
          </cell>
        </row>
        <row r="1210">
          <cell r="O1210">
            <v>83386</v>
          </cell>
        </row>
        <row r="1211">
          <cell r="O1211">
            <v>83394</v>
          </cell>
        </row>
        <row r="1212">
          <cell r="O1212">
            <v>83444</v>
          </cell>
        </row>
        <row r="1213">
          <cell r="O1213">
            <v>83498</v>
          </cell>
        </row>
        <row r="1214">
          <cell r="O1214">
            <v>83544</v>
          </cell>
        </row>
        <row r="1215">
          <cell r="O1215">
            <v>83627</v>
          </cell>
        </row>
        <row r="1216">
          <cell r="O1216">
            <v>83638</v>
          </cell>
        </row>
        <row r="1217">
          <cell r="O1217">
            <v>83722</v>
          </cell>
        </row>
        <row r="1218">
          <cell r="O1218">
            <v>83740</v>
          </cell>
        </row>
        <row r="1219">
          <cell r="O1219">
            <v>83743</v>
          </cell>
        </row>
        <row r="1220">
          <cell r="O1220">
            <v>83759</v>
          </cell>
        </row>
        <row r="1221">
          <cell r="O1221">
            <v>83764</v>
          </cell>
        </row>
      </sheetData>
      <sheetData sheetId="19">
        <row r="4">
          <cell r="C4" t="str">
            <v>Aluminium</v>
          </cell>
          <cell r="D4">
            <v>1</v>
          </cell>
        </row>
        <row r="5">
          <cell r="C5" t="str">
            <v>Aluminium Alloy</v>
          </cell>
          <cell r="D5">
            <v>1</v>
          </cell>
        </row>
        <row r="6">
          <cell r="C6" t="str">
            <v>Copper</v>
          </cell>
          <cell r="D6">
            <v>1</v>
          </cell>
        </row>
        <row r="7">
          <cell r="C7" t="str">
            <v>Lead</v>
          </cell>
          <cell r="D7">
            <v>1</v>
          </cell>
        </row>
        <row r="8">
          <cell r="C8" t="str">
            <v>Nickel</v>
          </cell>
          <cell r="D8">
            <v>1</v>
          </cell>
        </row>
        <row r="9">
          <cell r="C9" t="str">
            <v>Palladium</v>
          </cell>
          <cell r="D9">
            <v>1</v>
          </cell>
        </row>
        <row r="10">
          <cell r="C10" t="str">
            <v>Platinum</v>
          </cell>
          <cell r="D10">
            <v>1</v>
          </cell>
        </row>
        <row r="11">
          <cell r="C11" t="str">
            <v>Silver</v>
          </cell>
          <cell r="D11">
            <v>1</v>
          </cell>
        </row>
        <row r="12">
          <cell r="C12" t="str">
            <v>Tin</v>
          </cell>
          <cell r="D12">
            <v>1</v>
          </cell>
        </row>
        <row r="13">
          <cell r="C13" t="str">
            <v>Zinc</v>
          </cell>
          <cell r="D13">
            <v>1</v>
          </cell>
        </row>
        <row r="14">
          <cell r="C14" t="str">
            <v>IRON ORE 62% FE (TSI)</v>
          </cell>
          <cell r="D14">
            <v>1</v>
          </cell>
        </row>
      </sheetData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54"/>
  <sheetViews>
    <sheetView workbookViewId="0">
      <selection activeCell="C36" sqref="C36"/>
    </sheetView>
  </sheetViews>
  <sheetFormatPr defaultRowHeight="15" x14ac:dyDescent="0.25"/>
  <cols>
    <col min="1" max="1" width="14" bestFit="1" customWidth="1"/>
    <col min="2" max="2" width="16" bestFit="1" customWidth="1"/>
    <col min="3" max="3" width="9.7109375" bestFit="1" customWidth="1"/>
    <col min="4" max="4" width="10" bestFit="1" customWidth="1"/>
    <col min="5" max="5" width="24" bestFit="1" customWidth="1"/>
    <col min="7" max="7" width="6" bestFit="1" customWidth="1"/>
    <col min="8" max="9" width="8" bestFit="1" customWidth="1"/>
    <col min="12" max="12" width="10.140625" bestFit="1" customWidth="1"/>
    <col min="14" max="15" width="9.140625" style="57"/>
    <col min="17" max="17" width="10.85546875" bestFit="1" customWidth="1"/>
    <col min="18" max="18" width="10.85546875" style="57" customWidth="1"/>
    <col min="20" max="20" width="13.85546875" customWidth="1"/>
    <col min="21" max="21" width="9.28515625" bestFit="1" customWidth="1"/>
    <col min="22" max="22" width="12.7109375" bestFit="1" customWidth="1"/>
    <col min="23" max="23" width="12.42578125" customWidth="1"/>
    <col min="24" max="24" width="12.5703125" customWidth="1"/>
  </cols>
  <sheetData>
    <row r="1" spans="1:25" x14ac:dyDescent="0.25">
      <c r="A1" s="10" t="s">
        <v>11</v>
      </c>
      <c r="B1" s="84">
        <f>_xll.BDP("ZAR Curncy","PX_LAST")</f>
        <v>13.7651</v>
      </c>
      <c r="C1" s="1">
        <f ca="1">_xll.QDates_SpotDate(ValDate,"2b","JHB","NYC")</f>
        <v>43487</v>
      </c>
      <c r="G1" t="s">
        <v>57</v>
      </c>
      <c r="H1" s="11">
        <f>_xll.BDP("US0003M Index","PX_LAST")/100</f>
        <v>2.7757500000000001E-2</v>
      </c>
      <c r="I1" t="str">
        <f ca="1">_xll.QIns_CreateFRA(G1,ValDate,G1,B21,"USD",H1,1,E19,E19,,,E19)</f>
        <v>0x3¬1</v>
      </c>
      <c r="M1" t="s">
        <v>49</v>
      </c>
      <c r="X1" s="37"/>
    </row>
    <row r="2" spans="1:25" x14ac:dyDescent="0.25">
      <c r="A2" s="10" t="s">
        <v>12</v>
      </c>
      <c r="B2" s="84">
        <f>_xll.BDP("ZAR"&amp;A2&amp;" Curncy","PX_LAST")</f>
        <v>113</v>
      </c>
      <c r="C2" s="84">
        <f t="shared" ref="C2:C13" si="0">$B$1+B2/10000</f>
        <v>13.776400000000001</v>
      </c>
      <c r="D2" s="1">
        <f ca="1">_xll.QDates_AddPeriod($C$1,A2,IF(RIGHT(A2,1)="w","F","MF"),"NYC+JHB")</f>
        <v>43494</v>
      </c>
      <c r="E2" t="str">
        <f ca="1">_xll.QIns_CreateFxForward("USDZAR_"&amp;A2,D2,"USD","ZAR",1,C2,"USD.LIBOR.3M","ZAR.DISC.[USD.LIBOR.3M]")</f>
        <v>USDZAR_1w¬1</v>
      </c>
      <c r="G2" t="str">
        <f ca="1">_xll.QDates_FuturesGetFrontMonth(ValDate,"ED")</f>
        <v>EDH9</v>
      </c>
      <c r="H2" s="84">
        <f ca="1">_xll.BDP(G2&amp;" Comdty","PX_LAST")</f>
        <v>97.314999999999998</v>
      </c>
      <c r="I2" t="str">
        <f ca="1">_xll.QIns_CreateSTIRFromCode(G2,ValDate,G2,$B$21,H2,1,0,"USD.LIBOR.3M","USD.LIBOR.3M")</f>
        <v>EDH9¬1</v>
      </c>
      <c r="K2" t="s">
        <v>12</v>
      </c>
      <c r="L2" s="1">
        <f ca="1">_xll.QDates_AddPeriod(ValDate,K2,IF(RIGHT(K2,1)="w","F","MF"),"NYC+JHB")</f>
        <v>43490</v>
      </c>
      <c r="M2" s="11">
        <f>_xll.BDP("USDZARV"&amp;K2&amp;" Curncy","PX_MID")/100</f>
        <v>0.14662500000000001</v>
      </c>
      <c r="N2" s="11"/>
      <c r="O2" t="str">
        <f ca="1">_xll.QVol_CreateRiskyFlyVolSurface("USD/ZAR","USD/ZAR",ValDate,M18:N18,Q19:Q30,L19:L30,M19:N30,O19:P30,R19:R30,,"Market","GaussianKernel",,K19:K30)</f>
        <v>USD/ZAR¬1</v>
      </c>
    </row>
    <row r="3" spans="1:25" x14ac:dyDescent="0.25">
      <c r="A3" s="10" t="s">
        <v>13</v>
      </c>
      <c r="B3" s="84">
        <f>_xll.BDP("ZAR"&amp;A3&amp;" Curncy","PX_LAST")</f>
        <v>227</v>
      </c>
      <c r="C3" s="84">
        <f t="shared" si="0"/>
        <v>13.787800000000001</v>
      </c>
      <c r="D3" s="1">
        <f ca="1">_xll.QDates_AddPeriod($C$1,A3,IF(RIGHT(A3,1)="w","F","MF"),"NYC+JHB")</f>
        <v>43501</v>
      </c>
      <c r="E3" t="str">
        <f ca="1">_xll.QIns_CreateFxForward("USDZAR_"&amp;A3,D3,"USD","ZAR",1,C3,"USD.LIBOR.3M","ZAR.DISC.[USD.LIBOR.3M]")</f>
        <v>USDZAR_2w¬1</v>
      </c>
      <c r="G3" t="str">
        <f ca="1">_xll.QDates_FuturesNextCode(G2)</f>
        <v>EDM9</v>
      </c>
      <c r="H3" s="84">
        <f ca="1">_xll.BDP(G3&amp;" Comdty","PX_LAST")</f>
        <v>97.275000000000006</v>
      </c>
      <c r="I3" t="str">
        <f ca="1">_xll.QIns_CreateSTIRFromCode(G3,ValDate,G3,$B$21,H3,1,0,"USD.LIBOR.3M","USD.LIBOR.3M")</f>
        <v>EDM9¬1</v>
      </c>
      <c r="K3" t="s">
        <v>13</v>
      </c>
      <c r="L3" s="1">
        <f ca="1">_xll.QDates_AddPeriod(ValDate,K3,IF(RIGHT(K3,1)="w","F","MF"),"NYC+JHB")</f>
        <v>43497</v>
      </c>
      <c r="M3" s="11">
        <f>_xll.BDP("USDZARV"&amp;K3&amp;" Curncy","PX_MID")/100</f>
        <v>0.15304999999999999</v>
      </c>
      <c r="N3" s="11"/>
      <c r="O3" s="57" t="str">
        <f ca="1">_xll.QVol_CreateInvertedFxSurface("ZAR/USD",O2)</f>
        <v>ZAR/USD¬1</v>
      </c>
    </row>
    <row r="4" spans="1:25" x14ac:dyDescent="0.25">
      <c r="A4" s="10" t="s">
        <v>14</v>
      </c>
      <c r="B4" s="84">
        <f>_xll.BDP("ZAR"&amp;A4&amp;" Curncy","PX_LAST")</f>
        <v>502</v>
      </c>
      <c r="C4" s="84">
        <f t="shared" si="0"/>
        <v>13.815300000000001</v>
      </c>
      <c r="D4" s="1">
        <f ca="1">_xll.QDates_AddPeriod($C$1,A4,IF(RIGHT(A4,1)="w","F","MF"),"NYC+JHB")</f>
        <v>43518</v>
      </c>
      <c r="E4" t="str">
        <f ca="1">_xll.QIns_CreateFxForward("USDZAR_"&amp;A4,D4,"USD","ZAR",1,C4,"USD.LIBOR.3M","ZAR.DISC.[USD.LIBOR.3M]")</f>
        <v>USDZAR_1m¬1</v>
      </c>
      <c r="G4" t="str">
        <f ca="1">_xll.QDates_FuturesNextCode(G3)</f>
        <v>EDU9</v>
      </c>
      <c r="H4" s="84">
        <f ca="1">_xll.BDP(G4&amp;" Comdty","PX_LAST")</f>
        <v>97.27</v>
      </c>
      <c r="I4" t="str">
        <f ca="1">_xll.QIns_CreateSTIRFromCode(G4,ValDate,G4,$B$21,H4,1,0,"USD.LIBOR.3M","USD.LIBOR.3M")</f>
        <v>EDU9¬1</v>
      </c>
      <c r="K4" t="s">
        <v>47</v>
      </c>
      <c r="L4" s="1">
        <f ca="1">_xll.QDates_AddPeriod(ValDate,K4,IF(RIGHT(K4,1)="w","F","MF"),"NYC+JHB")</f>
        <v>43504</v>
      </c>
      <c r="M4" s="11">
        <f>_xll.BDP("USDZARV"&amp;K4&amp;" Curncy","PX_MID")/100</f>
        <v>0.15442500000000001</v>
      </c>
      <c r="N4" s="11"/>
      <c r="O4" s="11"/>
      <c r="T4" s="1"/>
      <c r="U4" s="11"/>
      <c r="V4" s="11"/>
      <c r="X4" s="1"/>
      <c r="Y4" s="11"/>
    </row>
    <row r="5" spans="1:25" x14ac:dyDescent="0.25">
      <c r="A5" s="10" t="s">
        <v>15</v>
      </c>
      <c r="B5" s="84">
        <f>_xll.BDP("ZAR"&amp;A5&amp;" Curncy","PX_LAST")</f>
        <v>960</v>
      </c>
      <c r="C5" s="84">
        <f t="shared" si="0"/>
        <v>13.8611</v>
      </c>
      <c r="D5" s="1">
        <f ca="1">_xll.QDates_AddPeriod($C$1,A5,IF(RIGHT(A5,1)="w","F","MF"),"NYC+JHB")</f>
        <v>43546</v>
      </c>
      <c r="E5" t="str">
        <f ca="1">_xll.QIns_CreateFxForward("USDZAR_"&amp;A5,D5,"USD","ZAR",1,C5,"USD.LIBOR.3M","ZAR.DISC.[USD.LIBOR.3M]")</f>
        <v>USDZAR_2m¬1</v>
      </c>
      <c r="G5" t="str">
        <f ca="1">_xll.QDates_FuturesNextCode(G4)</f>
        <v>EDZ9</v>
      </c>
      <c r="H5" s="84">
        <f ca="1">_xll.BDP(G5&amp;" Comdty","PX_LAST")</f>
        <v>97.240000000000009</v>
      </c>
      <c r="I5" t="str">
        <f ca="1">_xll.QIns_CreateSTIRFromCode(G5,ValDate,G5,$B$21,H5,1,0,"USD.LIBOR.3M","USD.LIBOR.3M")</f>
        <v>EDZ9¬1</v>
      </c>
      <c r="K5" t="s">
        <v>14</v>
      </c>
      <c r="L5" s="1">
        <f ca="1">_xll.QDates_AddPeriod(ValDate,K5,IF(RIGHT(K5,1)="w","F","MF"),"NYC+JHB")</f>
        <v>43515</v>
      </c>
      <c r="M5" s="11">
        <f>_xll.BDP("USDZARV"&amp;K5&amp;" Curncy","PX_MID")/100</f>
        <v>0.15352499999999999</v>
      </c>
      <c r="N5" s="11"/>
      <c r="O5" s="11"/>
      <c r="T5" s="1"/>
      <c r="U5" s="11"/>
      <c r="V5" s="11"/>
      <c r="X5" s="1"/>
      <c r="Y5" s="11"/>
    </row>
    <row r="6" spans="1:25" x14ac:dyDescent="0.25">
      <c r="A6" s="10" t="s">
        <v>10</v>
      </c>
      <c r="B6" s="84">
        <f>_xll.BDP("ZAR"&amp;A6&amp;" Curncy","PX_LAST")</f>
        <v>1492</v>
      </c>
      <c r="C6" s="84">
        <f t="shared" si="0"/>
        <v>13.914300000000001</v>
      </c>
      <c r="D6" s="1">
        <f ca="1">_xll.QDates_AddPeriod($C$1,A6,IF(RIGHT(A6,1)="w","F","MF"),"NYC+JHB")</f>
        <v>43578</v>
      </c>
      <c r="E6" t="str">
        <f ca="1">_xll.QIns_CreateFxForward("USDZAR_"&amp;A6,D6,"USD","ZAR",1,C6,"USD.LIBOR.3M","ZAR.DISC.[USD.LIBOR.3M]")</f>
        <v>USDZAR_3m¬1</v>
      </c>
      <c r="G6" t="str">
        <f ca="1">_xll.QDates_FuturesNextCode(G5)</f>
        <v>EDH0</v>
      </c>
      <c r="H6" s="84">
        <f ca="1">_xll.BDP(G6&amp;" Comdty","PX_LAST")</f>
        <v>97.31</v>
      </c>
      <c r="I6" t="str">
        <f ca="1">_xll.QIns_CreateSTIRFromCode(G6,ValDate,G6,$B$21,H6,1,0,"USD.LIBOR.3M","USD.LIBOR.3M")</f>
        <v>EDH0¬1</v>
      </c>
      <c r="K6" t="s">
        <v>15</v>
      </c>
      <c r="L6" s="1">
        <f ca="1">_xll.QDates_AddPeriod(ValDate,K6,IF(RIGHT(K6,1)="w","F","MF"),"NYC+JHB")</f>
        <v>43542</v>
      </c>
      <c r="M6" s="11">
        <f>_xll.BDP("USDZARV"&amp;K6&amp;" Curncy","PX_MID")/100</f>
        <v>0.15715000000000001</v>
      </c>
      <c r="N6" s="11"/>
      <c r="O6" s="11"/>
      <c r="T6" s="1"/>
      <c r="U6" s="11"/>
      <c r="V6" s="11"/>
      <c r="X6" s="1"/>
      <c r="Y6" s="11"/>
    </row>
    <row r="7" spans="1:25" x14ac:dyDescent="0.25">
      <c r="A7" s="10" t="s">
        <v>16</v>
      </c>
      <c r="B7" s="84">
        <f>_xll.BDP("ZAR"&amp;A7&amp;" Curncy","PX_LAST")</f>
        <v>3043</v>
      </c>
      <c r="C7" s="84">
        <f t="shared" si="0"/>
        <v>14.0694</v>
      </c>
      <c r="D7" s="1">
        <f ca="1">_xll.QDates_AddPeriod($C$1,A7,IF(RIGHT(A7,1)="w","F","MF"),"NYC+JHB")</f>
        <v>43668</v>
      </c>
      <c r="E7" t="str">
        <f ca="1">_xll.QIns_CreateFxForward("USDZAR_"&amp;A7,D7,"USD","ZAR",1,C7,"USD.LIBOR.3M","ZAR.DISC.[USD.LIBOR.3M]")</f>
        <v>USDZAR_6m¬1</v>
      </c>
      <c r="G7" t="str">
        <f ca="1">_xll.QDates_FuturesNextCode(G6)</f>
        <v>EDM0</v>
      </c>
      <c r="H7" s="84">
        <f ca="1">_xll.BDP(G7&amp;" Comdty","PX_LAST")</f>
        <v>97.344999999999999</v>
      </c>
      <c r="I7" t="str">
        <f ca="1">_xll.QIns_CreateSTIRFromCode(G7,ValDate,G7,$B$21,H7,1,0,"USD.LIBOR.3M","USD.LIBOR.3M")</f>
        <v>EDM0¬1</v>
      </c>
      <c r="K7" t="s">
        <v>10</v>
      </c>
      <c r="L7" s="1">
        <f ca="1">_xll.QDates_AddPeriod(ValDate,K7,IF(RIGHT(K7,1)="w","F","MF"),"NYC+JHB")</f>
        <v>43573</v>
      </c>
      <c r="M7" s="11">
        <f>_xll.BDP("USDZARV"&amp;K7&amp;" Curncy","PX_MID")/100</f>
        <v>0.1613</v>
      </c>
      <c r="N7" s="11"/>
      <c r="O7" s="11"/>
      <c r="T7" s="1"/>
      <c r="U7" s="11"/>
      <c r="V7" s="11"/>
      <c r="X7" s="1"/>
      <c r="Y7" s="11"/>
    </row>
    <row r="8" spans="1:25" x14ac:dyDescent="0.25">
      <c r="A8" s="10" t="s">
        <v>17</v>
      </c>
      <c r="B8" s="84">
        <f>_xll.BDP("ZAR"&amp;A8&amp;" Curncy","PX_LAST")</f>
        <v>4662</v>
      </c>
      <c r="C8" s="84">
        <f t="shared" si="0"/>
        <v>14.231300000000001</v>
      </c>
      <c r="D8" s="1">
        <f ca="1">_xll.QDates_AddPeriod($C$1,A8,IF(RIGHT(A8,1)="w","F","MF"),"NYC+JHB")</f>
        <v>43760</v>
      </c>
      <c r="E8" t="str">
        <f ca="1">_xll.QIns_CreateFxForward("USDZAR_"&amp;A8,D8,"USD","ZAR",1,C8,"USD.LIBOR.3M","ZAR.DISC.[USD.LIBOR.3M]")</f>
        <v>USDZAR_9m¬1</v>
      </c>
      <c r="G8" t="str">
        <f ca="1">_xll.QDates_FuturesNextCode(G7)</f>
        <v>EDU0</v>
      </c>
      <c r="H8" s="84">
        <f ca="1">_xll.BDP(G8&amp;" Comdty","PX_LAST")</f>
        <v>97.385000000000005</v>
      </c>
      <c r="I8" t="str">
        <f ca="1">_xll.QIns_CreateSTIRFromCode(G8,ValDate,G8,$B$21,H8,1,0,"USD.LIBOR.3M","USD.LIBOR.3M")</f>
        <v>EDU0¬1</v>
      </c>
      <c r="K8" t="s">
        <v>16</v>
      </c>
      <c r="L8" s="1">
        <f ca="1">_xll.QDates_AddPeriod(ValDate,K8,IF(RIGHT(K8,1)="w","F","MF"),"NYC+JHB")</f>
        <v>43664</v>
      </c>
      <c r="M8" s="11">
        <f>_xll.BDP("USDZARV"&amp;K8&amp;" Curncy","PX_MID")/100</f>
        <v>0.16644999999999999</v>
      </c>
      <c r="N8" s="11"/>
      <c r="O8" s="11"/>
      <c r="T8" s="1"/>
      <c r="U8" s="11"/>
      <c r="V8" s="11"/>
      <c r="X8" s="1"/>
      <c r="Y8" s="11"/>
    </row>
    <row r="9" spans="1:25" x14ac:dyDescent="0.25">
      <c r="A9" s="10" t="s">
        <v>21</v>
      </c>
      <c r="B9" s="84">
        <f>_xll.BDP("ZAR"&amp;A9&amp;" Curncy","PX_LAST")</f>
        <v>6314</v>
      </c>
      <c r="C9" s="84">
        <f t="shared" si="0"/>
        <v>14.3965</v>
      </c>
      <c r="D9" s="1">
        <f ca="1">_xll.QDates_AddPeriod($C$1,A9,IF(RIGHT(A9,1)="w","F","MF"),"NYC+JHB")</f>
        <v>43852</v>
      </c>
      <c r="E9" t="str">
        <f ca="1">_xll.QIns_CreateFxForward("USDZAR_"&amp;A9,D9,"USD","ZAR",1,C9,"USD.LIBOR.3M","ZAR.DISC.[USD.LIBOR.3M]")</f>
        <v>USDZAR_12m¬1</v>
      </c>
      <c r="G9" t="str">
        <f ca="1">_xll.QDates_FuturesNextCode(G8)</f>
        <v>EDZ0</v>
      </c>
      <c r="H9" s="84">
        <f ca="1">_xll.BDP(G9&amp;" Comdty","PX_LAST")</f>
        <v>97.375</v>
      </c>
      <c r="I9" t="str">
        <f ca="1">_xll.QIns_CreateSTIRFromCode(G9,ValDate,G9,$B$21,H9,1,0,"USD.LIBOR.3M","USD.LIBOR.3M")</f>
        <v>EDZ0¬1</v>
      </c>
      <c r="K9" t="s">
        <v>17</v>
      </c>
      <c r="L9" s="1">
        <f ca="1">_xll.QDates_AddPeriod(ValDate,K9,IF(RIGHT(K9,1)="w","F","MF"),"NYC+JHB")</f>
        <v>43756</v>
      </c>
      <c r="M9" s="11">
        <f>_xll.BDP("USDZARV"&amp;K9&amp;" Curncy","PX_MID")/100</f>
        <v>0.169325</v>
      </c>
      <c r="N9" s="11"/>
      <c r="O9" s="11"/>
      <c r="T9" s="1"/>
      <c r="U9" s="11"/>
      <c r="V9" s="11"/>
      <c r="X9" s="1"/>
      <c r="Y9" s="11"/>
    </row>
    <row r="10" spans="1:25" x14ac:dyDescent="0.25">
      <c r="A10" s="10" t="s">
        <v>18</v>
      </c>
      <c r="B10" s="84">
        <f>_xll.BDP("ZAR"&amp;A10&amp;" Curncy","PX_LAST")</f>
        <v>9692</v>
      </c>
      <c r="C10" s="84">
        <f t="shared" si="0"/>
        <v>14.734300000000001</v>
      </c>
      <c r="D10" s="1">
        <f ca="1">_xll.QDates_AddPeriod($C$1,A10,IF(RIGHT(A10,1)="w","F","MF"),"NYC+JHB")</f>
        <v>44034</v>
      </c>
      <c r="E10" t="str">
        <f ca="1">_xll.QIns_CreateFxForward("USDZAR_"&amp;A10,D10,"USD","ZAR",1,C10,"USD.LIBOR.3M","ZAR.DISC.[USD.LIBOR.3M]")</f>
        <v>USDZAR_18m¬1</v>
      </c>
      <c r="G10" t="str">
        <f ca="1">_xll.QDates_FuturesNextCode(G9)</f>
        <v>EDH1</v>
      </c>
      <c r="H10" s="84">
        <f ca="1">_xll.BDP(G10&amp;" Comdty","PX_LAST")</f>
        <v>97.415000000000006</v>
      </c>
      <c r="I10" t="str">
        <f ca="1">_xll.QIns_CreateSTIRFromCode(G10,ValDate,G10,$B$21,H10,1,0,"USD.LIBOR.3M","USD.LIBOR.3M")</f>
        <v>EDH1¬1</v>
      </c>
      <c r="K10" t="s">
        <v>48</v>
      </c>
      <c r="L10" s="1">
        <f ca="1">_xll.QDates_AddPeriod(ValDate,K10,IF(RIGHT(K10,1)="w","F","MF"),"NYC+JHB")</f>
        <v>43851</v>
      </c>
      <c r="M10" s="11">
        <f>_xll.BDP("USDZARV"&amp;K10&amp;" Curncy","PX_MID")/100</f>
        <v>0.17252500000000001</v>
      </c>
      <c r="N10" s="11"/>
      <c r="O10" s="11"/>
      <c r="T10" s="1"/>
      <c r="U10" s="11"/>
      <c r="V10" s="11"/>
      <c r="X10" s="1"/>
      <c r="Y10" s="11"/>
    </row>
    <row r="11" spans="1:25" x14ac:dyDescent="0.25">
      <c r="A11" s="10" t="s">
        <v>19</v>
      </c>
      <c r="B11" s="84">
        <f>_xll.BDP("ZAR"&amp;A11&amp;" Curncy","PX_LAST")</f>
        <v>13358</v>
      </c>
      <c r="C11" s="84">
        <f t="shared" si="0"/>
        <v>15.100900000000001</v>
      </c>
      <c r="D11" s="1">
        <f ca="1">_xll.QDates_AddPeriod($C$1,A11,IF(RIGHT(A11,1)="w","F","MF"),"NYC+JHB")</f>
        <v>44218</v>
      </c>
      <c r="E11" t="str">
        <f ca="1">_xll.QIns_CreateFxForward("USDZAR_"&amp;A11,D11,"USD","ZAR",1,C11,"USD.LIBOR.3M","ZAR.DISC.[USD.LIBOR.3M]")</f>
        <v>USDZAR_2y¬1</v>
      </c>
      <c r="G11" t="str">
        <f ca="1">_xll.QDates_FuturesNextCode(G10)</f>
        <v>EDM1</v>
      </c>
      <c r="H11" s="84">
        <f ca="1">_xll.BDP(G11&amp;" Comdty","PX_LAST")</f>
        <v>97.424999999999997</v>
      </c>
      <c r="I11" t="str">
        <f ca="1">_xll.QIns_CreateSTIRFromCode(G11,ValDate,G11,$B$21,H11,1,0,"USD.LIBOR.3M","USD.LIBOR.3M")</f>
        <v>EDM1¬1</v>
      </c>
      <c r="K11" t="s">
        <v>18</v>
      </c>
      <c r="L11" s="1">
        <f ca="1">_xll.QDates_AddPeriod(ValDate,K11,IF(RIGHT(K11,1)="w","F","MF"),"NYC+JHB")</f>
        <v>44032</v>
      </c>
      <c r="M11" s="11">
        <f>_xll.BDP("USDZARV"&amp;K11&amp;" Curncy","PX_MID")/100</f>
        <v>0.176925</v>
      </c>
      <c r="N11" s="11"/>
      <c r="O11" s="11"/>
      <c r="T11" s="1"/>
      <c r="U11" s="11"/>
      <c r="V11" s="11"/>
      <c r="X11" s="1"/>
      <c r="Y11" s="11"/>
    </row>
    <row r="12" spans="1:25" x14ac:dyDescent="0.25">
      <c r="A12" s="10" t="s">
        <v>20</v>
      </c>
      <c r="B12" s="84">
        <f>_xll.BDP("ZAR"&amp;A12&amp;" Curncy","PX_LAST")</f>
        <v>21469</v>
      </c>
      <c r="C12" s="84">
        <f t="shared" si="0"/>
        <v>15.912000000000001</v>
      </c>
      <c r="D12" s="1">
        <f ca="1">_xll.QDates_AddPeriod($C$1,A12,IF(RIGHT(A12,1)="w","F","MF"),"NYC+JHB")</f>
        <v>44585</v>
      </c>
      <c r="E12" t="str">
        <f ca="1">_xll.QIns_CreateFxForward("USDZAR_"&amp;A12,D12,"USD","ZAR",1,C12,"USD.LIBOR.3M","ZAR.DISC.[USD.LIBOR.3M]")</f>
        <v>USDZAR_3y¬1</v>
      </c>
      <c r="G12" t="str">
        <f ca="1">_xll.QDates_FuturesNextCode(G11)</f>
        <v>EDU1</v>
      </c>
      <c r="H12" s="84">
        <f ca="1">_xll.BDP(G12&amp;" Comdty","PX_LAST")</f>
        <v>97.424999999999997</v>
      </c>
      <c r="I12" t="str">
        <f ca="1">_xll.QIns_CreateSTIRFromCode(G12,ValDate,G12,$B$21,H12,1,0,"USD.LIBOR.3M","USD.LIBOR.3M")</f>
        <v>EDU1¬1</v>
      </c>
      <c r="K12" t="s">
        <v>19</v>
      </c>
      <c r="L12" s="1">
        <f ca="1">_xll.QDates_AddPeriod(ValDate,K12,IF(RIGHT(K12,1)="w","F","MF"),"NYC+JHB")</f>
        <v>44215</v>
      </c>
      <c r="M12" s="11">
        <f>_xll.BDP("USDZARV"&amp;K12&amp;" Curncy","PX_MID")/100</f>
        <v>0.17877500000000002</v>
      </c>
      <c r="N12" s="11"/>
      <c r="O12" s="11"/>
      <c r="T12" s="1"/>
      <c r="U12" s="11"/>
      <c r="V12" s="11"/>
      <c r="X12" s="1"/>
      <c r="Y12" s="11"/>
    </row>
    <row r="13" spans="1:25" x14ac:dyDescent="0.25">
      <c r="A13" s="10" t="s">
        <v>22</v>
      </c>
      <c r="B13" s="84">
        <f>_xll.BDP("ZAR"&amp;A13&amp;" Curncy","PX_LAST")</f>
        <v>41218</v>
      </c>
      <c r="C13" s="84">
        <f t="shared" si="0"/>
        <v>17.886900000000001</v>
      </c>
      <c r="D13" s="1">
        <f ca="1">_xll.QDates_AddPeriod($C$1,A13,IF(RIGHT(A13,1)="w","F","MF"),"NYC+JHB")</f>
        <v>45313</v>
      </c>
      <c r="E13" t="str">
        <f ca="1">_xll.QIns_CreateFxForward("USDZAR_"&amp;A13,D13,"USD","ZAR",1,C13,"USD.LIBOR.3M","ZAR.DISC.[USD.LIBOR.3M]")</f>
        <v>USDZAR_5y¬1</v>
      </c>
      <c r="G13" t="str">
        <f ca="1">_xll.QDates_FuturesNextCode(G12)</f>
        <v>EDZ1</v>
      </c>
      <c r="H13" s="84">
        <f ca="1">_xll.BDP(G13&amp;" Comdty","PX_LAST")</f>
        <v>97.394999999999996</v>
      </c>
      <c r="I13" t="str">
        <f ca="1">_xll.QIns_CreateSTIRFromCode(G13,ValDate,G13,$B$21,H13,1,0,"USD.LIBOR.3M","USD.LIBOR.3M")</f>
        <v>EDZ1¬1</v>
      </c>
      <c r="K13" t="s">
        <v>20</v>
      </c>
      <c r="L13" s="1">
        <f ca="1">_xll.QDates_AddPeriod(ValDate,K13,IF(RIGHT(K13,1)="w","F","MF"),"NYC+JHB")</f>
        <v>44579</v>
      </c>
      <c r="M13" s="11">
        <f>_xll.BDP("USDZARV"&amp;K13&amp;" Curncy","PX_MID")/100</f>
        <v>0.18607500000000002</v>
      </c>
      <c r="N13" s="11"/>
      <c r="O13" s="11"/>
      <c r="T13" s="1"/>
      <c r="U13" s="11"/>
      <c r="V13" s="11"/>
      <c r="X13" s="1"/>
      <c r="Y13" s="11"/>
    </row>
    <row r="14" spans="1:25" x14ac:dyDescent="0.25">
      <c r="G14" t="str">
        <f ca="1">_xll.QDates_FuturesNextCode(G13)</f>
        <v>EDH2</v>
      </c>
      <c r="H14" s="84">
        <f ca="1">_xll.BDP(G14&amp;" Comdty","PX_LAST")</f>
        <v>97.385000000000005</v>
      </c>
      <c r="I14" t="str">
        <f ca="1">_xll.QIns_CreateSTIRFromCode(G14,ValDate,G14,$B$21,H14,1,0,"USD.LIBOR.3M","USD.LIBOR.3M")</f>
        <v>EDH2¬1</v>
      </c>
      <c r="K14" t="s">
        <v>22</v>
      </c>
      <c r="L14" s="1">
        <f ca="1">_xll.QDates_AddPeriod(ValDate,K14,IF(RIGHT(K14,1)="w","F","MF"),"NYC+JHB")</f>
        <v>45309</v>
      </c>
      <c r="M14" s="11">
        <f>_xll.BDP("USDZARV"&amp;K14&amp;" Curncy","PX_MID")/100</f>
        <v>0.20535</v>
      </c>
      <c r="N14" s="11"/>
      <c r="O14" s="11"/>
      <c r="T14" s="1"/>
      <c r="U14" s="11"/>
      <c r="V14" s="11"/>
      <c r="X14" s="1"/>
      <c r="Y14" s="11"/>
    </row>
    <row r="15" spans="1:25" x14ac:dyDescent="0.25">
      <c r="A15" t="s">
        <v>23</v>
      </c>
      <c r="B15" t="str">
        <f>_xll.QIns_CreateFxPair("USDZAR","USD","ZAR","NYC+JHB","2b")</f>
        <v>USDZAR¬0</v>
      </c>
      <c r="G15" t="str">
        <f ca="1">_xll.QDates_FuturesNextCode(G14)</f>
        <v>EDM2</v>
      </c>
      <c r="H15" s="84">
        <f ca="1">_xll.BDP(G15&amp;" Comdty","PX_LAST")</f>
        <v>97.37</v>
      </c>
      <c r="I15" t="str">
        <f ca="1">_xll.QIns_CreateSTIRFromCode(G15,ValDate,G15,$B$21,H15,1,0,"USD.LIBOR.3M","USD.LIBOR.3M")</f>
        <v>EDM2¬1</v>
      </c>
      <c r="T15" s="1"/>
      <c r="U15" s="11"/>
      <c r="V15" s="11"/>
      <c r="X15" s="1"/>
      <c r="Y15" s="11"/>
    </row>
    <row r="16" spans="1:25" x14ac:dyDescent="0.25">
      <c r="B16" t="str">
        <f>_xll.QIns_CreateFxPair("ZARUSD","ZAR","USD","NYC+JHB","2b")</f>
        <v>ZARUSD¬0</v>
      </c>
      <c r="D16" t="s">
        <v>25</v>
      </c>
      <c r="E16" s="122">
        <f>B1+0.03</f>
        <v>13.7951</v>
      </c>
      <c r="G16" t="str">
        <f ca="1">_xll.QDates_FuturesNextCode(G15)</f>
        <v>EDU2</v>
      </c>
      <c r="H16" s="84">
        <f ca="1">_xll.BDP(G16&amp;" Comdty","PX_LAST")</f>
        <v>97.344999999999999</v>
      </c>
      <c r="I16" t="str">
        <f ca="1">_xll.QIns_CreateSTIRFromCode(G16,ValDate,G16,$B$21,H16,1,0,"USD.LIBOR.3M","USD.LIBOR.3M")</f>
        <v>EDU2¬1</v>
      </c>
      <c r="T16" s="1"/>
      <c r="U16" s="11"/>
      <c r="V16" s="11"/>
      <c r="X16" s="1"/>
      <c r="Y16" s="11"/>
    </row>
    <row r="17" spans="1:25" x14ac:dyDescent="0.25">
      <c r="A17" t="s">
        <v>24</v>
      </c>
      <c r="B17" t="str">
        <f ca="1">_xll.QIns_CreateFxMatrix(A17,"USD",ValDate,D16:E16,B15:B16,D18:E19)</f>
        <v>FxMarix¬1</v>
      </c>
      <c r="G17" t="str">
        <f ca="1">_xll.QDates_FuturesNextCode(G16)</f>
        <v>EDZ2</v>
      </c>
      <c r="H17" s="84">
        <f ca="1">_xll.BDP(G17&amp;" Comdty","PX_LAST")</f>
        <v>97.31</v>
      </c>
      <c r="I17" t="str">
        <f ca="1">_xll.QIns_CreateSTIRFromCode(G17,ValDate,G17,$B$21,H17,1,0,"USD.LIBOR.3M","USD.LIBOR.3M")</f>
        <v>EDZ2¬1</v>
      </c>
      <c r="K17" s="57"/>
      <c r="L17" s="57"/>
      <c r="M17" s="130" t="s">
        <v>87</v>
      </c>
      <c r="N17" s="131"/>
      <c r="O17" s="130" t="s">
        <v>88</v>
      </c>
      <c r="P17" s="131"/>
      <c r="Q17" s="57"/>
      <c r="T17" s="1"/>
      <c r="U17" s="11"/>
      <c r="V17" s="11"/>
      <c r="X17" s="1"/>
      <c r="Y17" s="11"/>
    </row>
    <row r="18" spans="1:25" ht="15.75" thickBot="1" x14ac:dyDescent="0.3">
      <c r="D18" t="s">
        <v>25</v>
      </c>
      <c r="E18" t="s">
        <v>28</v>
      </c>
      <c r="G18" t="str">
        <f ca="1">_xll.QDates_FuturesNextCode(G17)</f>
        <v>EDH3</v>
      </c>
      <c r="H18" s="84">
        <f ca="1">_xll.BDP(G18&amp;" Comdty","PX_LAST")</f>
        <v>97.284999999999997</v>
      </c>
      <c r="I18" t="str">
        <f ca="1">_xll.QIns_CreateSTIRFromCode(G18,ValDate,G18,$B$21,H18,1,0,"USD.LIBOR.3M","USD.LIBOR.3M")</f>
        <v>EDH3¬1</v>
      </c>
      <c r="K18" s="57"/>
      <c r="L18" s="77" t="s">
        <v>80</v>
      </c>
      <c r="M18" s="64">
        <v>0.25</v>
      </c>
      <c r="N18" s="65">
        <v>0.1</v>
      </c>
      <c r="O18" s="64">
        <v>0.25</v>
      </c>
      <c r="P18" s="65">
        <v>0.1</v>
      </c>
      <c r="Q18" s="57"/>
      <c r="T18" s="1"/>
      <c r="U18" s="11"/>
      <c r="V18" s="11"/>
      <c r="X18" s="1"/>
      <c r="Y18" s="11"/>
    </row>
    <row r="19" spans="1:25" x14ac:dyDescent="0.25">
      <c r="D19" t="s">
        <v>26</v>
      </c>
      <c r="E19" t="s">
        <v>56</v>
      </c>
      <c r="G19" t="str">
        <f ca="1">_xll.QDates_FuturesNextCode(G18)</f>
        <v>EDM3</v>
      </c>
      <c r="H19" s="84">
        <f ca="1">_xll.BDP(G19&amp;" Comdty","PX_LAST")</f>
        <v>97.254999999999995</v>
      </c>
      <c r="I19" t="str">
        <f ca="1">_xll.QIns_CreateSTIRFromCode(G19,ValDate,G19,$B$21,H19,1,0,"USD.LIBOR.3M","USD.LIBOR.3M")</f>
        <v>EDM3¬1</v>
      </c>
      <c r="K19" s="70" t="s">
        <v>12</v>
      </c>
      <c r="L19" s="78">
        <f>_xll.BDP("USDZARV"&amp;K19&amp;" Curncy","PX_LAST")/100</f>
        <v>0.14662500000000001</v>
      </c>
      <c r="M19" s="66">
        <f>_xll.BDP("USDZAR25R"&amp;K19&amp;" Curncy","PX_LAST")/100</f>
        <v>1.6924999999999999E-2</v>
      </c>
      <c r="N19" s="67">
        <f>_xll.BDP("USDZAR10R"&amp;K19&amp;" Curncy","PX_LAST")/100</f>
        <v>2.8875000000000001E-2</v>
      </c>
      <c r="O19" s="66">
        <f>_xll.BDP("USDZAR25B"&amp;K19&amp;" Curncy","PX_LAST")/100</f>
        <v>3.1749999999999999E-3</v>
      </c>
      <c r="P19" s="67">
        <f>_xll.BDP("USDZAR10B"&amp;K19&amp;" Curncy","PX_LAST")/100</f>
        <v>8.4499999999999992E-3</v>
      </c>
      <c r="Q19" s="74">
        <f ca="1">_xll.QDates_AddPeriod(ValDate,K19,"F","NYC+JHB")</f>
        <v>43490</v>
      </c>
      <c r="R19" s="111">
        <f>VLOOKUP(K19,$A$2:$C$13,3,FALSE)</f>
        <v>13.776400000000001</v>
      </c>
      <c r="T19" s="1"/>
      <c r="U19" s="11"/>
      <c r="V19" s="11"/>
      <c r="X19" s="1"/>
      <c r="Y19" s="11"/>
    </row>
    <row r="20" spans="1:25" x14ac:dyDescent="0.25">
      <c r="G20" t="str">
        <f ca="1">_xll.QDates_FuturesNextCode(G19)</f>
        <v>EDU3</v>
      </c>
      <c r="H20" s="84">
        <f ca="1">_xll.BDP(G20&amp;" Comdty","PX_LAST")</f>
        <v>97.225000000000009</v>
      </c>
      <c r="I20" t="str">
        <f ca="1">_xll.QIns_CreateSTIRFromCode(G20,ValDate,G20,$B$21,H20,1,0,"USD.LIBOR.3M","USD.LIBOR.3M")</f>
        <v>EDU3¬1</v>
      </c>
      <c r="K20" s="73" t="s">
        <v>14</v>
      </c>
      <c r="L20" s="78">
        <f>_xll.BDP("USDZARV"&amp;K20&amp;" Curncy","PX_LAST")/100</f>
        <v>0.15352499999999999</v>
      </c>
      <c r="M20" s="66">
        <f>_xll.BDP("USDZAR25R"&amp;K20&amp;" Curncy","PX_LAST")/100</f>
        <v>2.3025000000000004E-2</v>
      </c>
      <c r="N20" s="67">
        <f>_xll.BDP("USDZAR10R"&amp;K20&amp;" Curncy","PX_LAST")/100</f>
        <v>4.0500000000000001E-2</v>
      </c>
      <c r="O20" s="66">
        <f>_xll.BDP("USDZAR25B"&amp;K20&amp;" Curncy","PX_LAST")/100</f>
        <v>4.5250000000000004E-3</v>
      </c>
      <c r="P20" s="67">
        <f>_xll.BDP("USDZAR10B"&amp;K20&amp;" Curncy","PX_LAST")/100</f>
        <v>1.18E-2</v>
      </c>
      <c r="Q20" s="74">
        <f ca="1">_xll.QDates_AddPeriod(ValDate,K20,"F","NYC+JHB")</f>
        <v>43515</v>
      </c>
      <c r="R20" s="111">
        <f t="shared" ref="R20:R30" si="1">VLOOKUP(K20,$A$2:$C$13,3,FALSE)</f>
        <v>13.815300000000001</v>
      </c>
      <c r="T20" s="1"/>
      <c r="U20" s="11"/>
      <c r="V20" s="11"/>
      <c r="X20" s="1"/>
      <c r="Y20" s="11"/>
    </row>
    <row r="21" spans="1:25" x14ac:dyDescent="0.25">
      <c r="A21" t="s">
        <v>27</v>
      </c>
      <c r="B21" t="str">
        <f>_xll.QIns_CreateRateIndex("USD.LIBOR.3M","USD","3m","ACT360","ACT360","3m","NYC+LON","2b","MF")</f>
        <v>USD.LIBOR.3M¬0</v>
      </c>
      <c r="G21" t="str">
        <f ca="1">_xll.QDates_FuturesNextCode(G20)</f>
        <v>EDZ3</v>
      </c>
      <c r="H21" s="84">
        <f ca="1">_xll.BDP(G21&amp;" Comdty","PX_LAST")</f>
        <v>97.19</v>
      </c>
      <c r="I21" t="str">
        <f ca="1">_xll.QIns_CreateSTIRFromCode(G21,ValDate,G21,$B$21,H21,1,0,"USD.LIBOR.3M","USD.LIBOR.3M")</f>
        <v>EDZ3¬1</v>
      </c>
      <c r="K21" s="73" t="s">
        <v>15</v>
      </c>
      <c r="L21" s="78">
        <f>_xll.BDP("USDZARV"&amp;K21&amp;" Curncy","PX_LAST")/100</f>
        <v>0.15715000000000001</v>
      </c>
      <c r="M21" s="66">
        <f>_xll.BDP("USDZAR25R"&amp;K21&amp;" Curncy","PX_LAST")/100</f>
        <v>2.5849999999999998E-2</v>
      </c>
      <c r="N21" s="67">
        <f>_xll.BDP("USDZAR10R"&amp;K21&amp;" Curncy","PX_LAST")/100</f>
        <v>4.7199999999999999E-2</v>
      </c>
      <c r="O21" s="66">
        <f>_xll.BDP("USDZAR25B"&amp;K21&amp;" Curncy","PX_LAST")/100</f>
        <v>5.0000000000000001E-3</v>
      </c>
      <c r="P21" s="67">
        <f>_xll.BDP("USDZAR10B"&amp;K21&amp;" Curncy","PX_LAST")/100</f>
        <v>1.2800000000000001E-2</v>
      </c>
      <c r="Q21" s="74">
        <f ca="1">_xll.QDates_AddPeriod(ValDate,K21,"F","NYC+JHB")</f>
        <v>43542</v>
      </c>
      <c r="R21" s="111">
        <f t="shared" si="1"/>
        <v>13.8611</v>
      </c>
      <c r="T21" s="1"/>
      <c r="U21" s="11"/>
      <c r="V21" s="11"/>
      <c r="X21" s="1"/>
      <c r="Y21" s="11"/>
    </row>
    <row r="22" spans="1:25" x14ac:dyDescent="0.25">
      <c r="G22" t="str">
        <f ca="1">_xll.QDates_FuturesNextCode(G21)</f>
        <v>EDH4</v>
      </c>
      <c r="H22" s="84">
        <f ca="1">_xll.BDP(G22&amp;" Comdty","PX_LAST")</f>
        <v>97.19</v>
      </c>
      <c r="I22" t="str">
        <f ca="1">_xll.QIns_CreateSTIRFromCode(G22,ValDate,G22,$B$21,H22,1,0,"USD.LIBOR.3M","USD.LIBOR.3M")</f>
        <v>EDH4¬1</v>
      </c>
      <c r="K22" s="73" t="s">
        <v>10</v>
      </c>
      <c r="L22" s="78">
        <f>_xll.BDP("USDZARV"&amp;K22&amp;" Curncy","PX_LAST")/100</f>
        <v>0.1613</v>
      </c>
      <c r="M22" s="66">
        <f>_xll.BDP("USDZAR25R"&amp;K22&amp;" Curncy","PX_LAST")/100</f>
        <v>2.8300000000000002E-2</v>
      </c>
      <c r="N22" s="67">
        <f>_xll.BDP("USDZAR10R"&amp;K22&amp;" Curncy","PX_LAST")/100</f>
        <v>5.2549999999999999E-2</v>
      </c>
      <c r="O22" s="66">
        <f>_xll.BDP("USDZAR25B"&amp;K22&amp;" Curncy","PX_LAST")/100</f>
        <v>5.3500000000000006E-3</v>
      </c>
      <c r="P22" s="67">
        <f>_xll.BDP("USDZAR10B"&amp;K22&amp;" Curncy","PX_LAST")/100</f>
        <v>1.355E-2</v>
      </c>
      <c r="Q22" s="74">
        <f ca="1">_xll.QDates_AddPeriod(ValDate,K22,"F","NYC+JHB")</f>
        <v>43573</v>
      </c>
      <c r="R22" s="111">
        <f t="shared" si="1"/>
        <v>13.914300000000001</v>
      </c>
      <c r="T22" s="1"/>
      <c r="U22" s="11"/>
      <c r="V22" s="11"/>
      <c r="X22" s="1"/>
      <c r="Y22" s="11"/>
    </row>
    <row r="23" spans="1:25" x14ac:dyDescent="0.25">
      <c r="A23" t="s">
        <v>36</v>
      </c>
      <c r="B23" t="str">
        <f ca="1">_xll.QIns_CreateFundingInstrumentCollection(A23,E2:E13)</f>
        <v>FICA¬1</v>
      </c>
      <c r="G23" t="str">
        <f ca="1">_xll.QDates_FuturesNextCode(G22)</f>
        <v>EDM4</v>
      </c>
      <c r="H23" s="84">
        <f ca="1">_xll.BDP(G23&amp;" Comdty","PX_LAST")</f>
        <v>97.13</v>
      </c>
      <c r="I23" t="str">
        <f ca="1">_xll.QIns_CreateSTIRFromCode(G23,ValDate,G23,$B$21,H23,1,0,"USD.LIBOR.3M","USD.LIBOR.3M")</f>
        <v>EDM4¬1</v>
      </c>
      <c r="K23" s="73" t="s">
        <v>16</v>
      </c>
      <c r="L23" s="78">
        <f>_xll.BDP("USDZARV"&amp;K23&amp;" Curncy","PX_LAST")/100</f>
        <v>0.16644999999999999</v>
      </c>
      <c r="M23" s="66">
        <f>_xll.BDP("USDZAR25R"&amp;K23&amp;" Curncy","PX_LAST")/100</f>
        <v>3.3450000000000001E-2</v>
      </c>
      <c r="N23" s="67">
        <f>_xll.BDP("USDZAR10R"&amp;K23&amp;" Curncy","PX_LAST")/100</f>
        <v>6.1900000000000004E-2</v>
      </c>
      <c r="O23" s="66">
        <f>_xll.BDP("USDZAR25B"&amp;K23&amp;" Curncy","PX_LAST")/100</f>
        <v>5.9499999999999996E-3</v>
      </c>
      <c r="P23" s="67">
        <f>_xll.BDP("USDZAR10B"&amp;K23&amp;" Curncy","PX_LAST")/100</f>
        <v>1.4250000000000001E-2</v>
      </c>
      <c r="Q23" s="74">
        <f ca="1">_xll.QDates_AddPeriod(ValDate,K23,"F","NYC+JHB")</f>
        <v>43664</v>
      </c>
      <c r="R23" s="111">
        <f t="shared" si="1"/>
        <v>14.0694</v>
      </c>
      <c r="T23" s="1"/>
      <c r="U23" s="11"/>
      <c r="V23" s="11"/>
      <c r="X23" s="1"/>
      <c r="Y23" s="11"/>
    </row>
    <row r="24" spans="1:25" x14ac:dyDescent="0.25">
      <c r="A24" t="s">
        <v>37</v>
      </c>
      <c r="B24" t="str">
        <f ca="1">_xll.QIns_CreateFundingInstrumentCollection(A24,I1:I23)</f>
        <v>FICB¬1</v>
      </c>
      <c r="K24" s="73" t="s">
        <v>17</v>
      </c>
      <c r="L24" s="78">
        <f>_xll.BDP("USDZARV"&amp;K24&amp;" Curncy","PX_LAST")/100</f>
        <v>0.169325</v>
      </c>
      <c r="M24" s="66">
        <f>_xll.BDP("USDZAR25R"&amp;K24&amp;" Curncy","PX_LAST")/100</f>
        <v>3.8550000000000001E-2</v>
      </c>
      <c r="N24" s="67">
        <f>_xll.BDP("USDZAR10R"&amp;K24&amp;" Curncy","PX_LAST")/100</f>
        <v>7.2724999999999998E-2</v>
      </c>
      <c r="O24" s="66">
        <f>_xll.BDP("USDZAR25B"&amp;K24&amp;" Curncy","PX_LAST")/100</f>
        <v>6.7250000000000001E-3</v>
      </c>
      <c r="P24" s="67">
        <f>_xll.BDP("USDZAR10B"&amp;K24&amp;" Curncy","PX_LAST")/100</f>
        <v>1.52E-2</v>
      </c>
      <c r="Q24" s="74">
        <f ca="1">_xll.QDates_AddPeriod(ValDate,K24,"F","NYC+JHB")</f>
        <v>43756</v>
      </c>
      <c r="R24" s="111">
        <f t="shared" si="1"/>
        <v>14.231300000000001</v>
      </c>
      <c r="T24" s="1"/>
      <c r="U24" s="11"/>
      <c r="V24" s="11"/>
      <c r="X24" s="1"/>
      <c r="Y24" s="11"/>
    </row>
    <row r="25" spans="1:25" x14ac:dyDescent="0.25">
      <c r="A25" t="s">
        <v>38</v>
      </c>
      <c r="B25" t="str">
        <f ca="1">_xll.QIns_CreateFundingInstrumentCollection(A25,B23:B24)</f>
        <v>FIC_Combined¬1</v>
      </c>
      <c r="K25" s="73" t="s">
        <v>48</v>
      </c>
      <c r="L25" s="78">
        <f>_xll.BDP("USDZARV"&amp;K25&amp;" Curncy","PX_LAST")/100</f>
        <v>0.17252500000000001</v>
      </c>
      <c r="M25" s="66">
        <f>_xll.BDP("USDZAR25R"&amp;K25&amp;" Curncy","PX_LAST")/100</f>
        <v>4.2099999999999999E-2</v>
      </c>
      <c r="N25" s="67">
        <f>_xll.BDP("USDZAR10R"&amp;K25&amp;" Curncy","PX_LAST")/100</f>
        <v>7.8625E-2</v>
      </c>
      <c r="O25" s="66">
        <f>_xll.BDP("USDZAR25B"&amp;K25&amp;" Curncy","PX_LAST")/100</f>
        <v>7.4250000000000002E-3</v>
      </c>
      <c r="P25" s="67">
        <f>_xll.BDP("USDZAR10B"&amp;K25&amp;" Curncy","PX_LAST")/100</f>
        <v>1.6299999999999999E-2</v>
      </c>
      <c r="Q25" s="74">
        <f ca="1">_xll.QDates_AddPeriod(ValDate,K25,"F","NYC+JHB")</f>
        <v>43851</v>
      </c>
      <c r="R25" s="111">
        <f>C9</f>
        <v>14.3965</v>
      </c>
      <c r="T25" s="1"/>
      <c r="U25" s="11"/>
      <c r="V25" s="11"/>
      <c r="X25" s="1"/>
      <c r="Y25" s="11"/>
    </row>
    <row r="26" spans="1:25" x14ac:dyDescent="0.25">
      <c r="K26" s="73" t="s">
        <v>18</v>
      </c>
      <c r="L26" s="78">
        <f>_xll.BDP("USDZARV"&amp;K26&amp;" Curncy","PX_LAST")/100</f>
        <v>0.176925</v>
      </c>
      <c r="M26" s="66">
        <f>_xll.BDP("USDZAR25R"&amp;K26&amp;" Curncy","PX_LAST")/100</f>
        <v>4.4900000000000002E-2</v>
      </c>
      <c r="N26" s="67">
        <f>_xll.BDP("USDZAR10R"&amp;K26&amp;" Curncy","PX_LAST")/100</f>
        <v>8.3475000000000008E-2</v>
      </c>
      <c r="O26" s="66">
        <f>_xll.BDP("USDZAR25B"&amp;K26&amp;" Curncy","PX_LAST")/100</f>
        <v>8.0499999999999999E-3</v>
      </c>
      <c r="P26" s="67">
        <f>_xll.BDP("USDZAR10B"&amp;K26&amp;" Curncy","PX_LAST")/100</f>
        <v>1.7425E-2</v>
      </c>
      <c r="Q26" s="74">
        <f ca="1">_xll.QDates_AddPeriod(ValDate,K26,"F","NYC+JHB")</f>
        <v>44032</v>
      </c>
      <c r="R26" s="111">
        <f t="shared" si="1"/>
        <v>14.734300000000001</v>
      </c>
      <c r="T26" s="1"/>
      <c r="U26" s="11"/>
      <c r="V26" s="11"/>
      <c r="X26" s="1"/>
      <c r="Y26" s="11"/>
    </row>
    <row r="27" spans="1:25" x14ac:dyDescent="0.25">
      <c r="A27" s="57" t="s">
        <v>29</v>
      </c>
      <c r="B27" s="57" t="str">
        <f ca="1">_xll.QCurves_CreateFundingModel(A27,ValDate,B25,,B17,O2:O3)</f>
        <v>FundingModel¬1</v>
      </c>
      <c r="K27" s="73" t="s">
        <v>19</v>
      </c>
      <c r="L27" s="78">
        <f>_xll.BDP("USDZARV"&amp;K27&amp;" Curncy","PX_LAST")/100</f>
        <v>0.17877500000000002</v>
      </c>
      <c r="M27" s="66">
        <f>_xll.BDP("USDZAR25R"&amp;K27&amp;" Curncy","PX_LAST")/100</f>
        <v>4.8049999999999995E-2</v>
      </c>
      <c r="N27" s="67">
        <f>_xll.BDP("USDZAR10R"&amp;K27&amp;" Curncy","PX_LAST")/100</f>
        <v>9.0425000000000005E-2</v>
      </c>
      <c r="O27" s="66">
        <f>_xll.BDP("USDZAR25B"&amp;K27&amp;" Curncy","PX_LAST")/100</f>
        <v>8.9499999999999996E-3</v>
      </c>
      <c r="P27" s="67">
        <f>_xll.BDP("USDZAR10B"&amp;K27&amp;" Curncy","PX_LAST")/100</f>
        <v>1.9625E-2</v>
      </c>
      <c r="Q27" s="74">
        <f ca="1">_xll.QDates_AddPeriod(ValDate,K27,"F","NYC+JHB")</f>
        <v>44215</v>
      </c>
      <c r="R27" s="111">
        <f t="shared" si="1"/>
        <v>15.100900000000001</v>
      </c>
      <c r="T27" s="1"/>
      <c r="U27" s="11"/>
      <c r="V27" s="11"/>
      <c r="X27" s="1"/>
      <c r="Y27" s="11"/>
    </row>
    <row r="28" spans="1:25" x14ac:dyDescent="0.25">
      <c r="K28" s="73" t="s">
        <v>20</v>
      </c>
      <c r="L28" s="78">
        <f>_xll.BDP("USDZARV"&amp;K28&amp;" Curncy","PX_LAST")/100</f>
        <v>0.18607500000000002</v>
      </c>
      <c r="M28" s="66">
        <f>_xll.BDP("USDZAR25R"&amp;K28&amp;" Curncy","PX_LAST")/100</f>
        <v>5.4974999999999996E-2</v>
      </c>
      <c r="N28" s="67">
        <f>_xll.BDP("USDZAR10R"&amp;K28&amp;" Curncy","PX_LAST")/100</f>
        <v>0.10262499999999999</v>
      </c>
      <c r="O28" s="66">
        <f>_xll.BDP("USDZAR25B"&amp;K28&amp;" Curncy","PX_LAST")/100</f>
        <v>9.5499999999999995E-3</v>
      </c>
      <c r="P28" s="67">
        <f>_xll.BDP("USDZAR10B"&amp;K28&amp;" Curncy","PX_LAST")/100</f>
        <v>2.1775000000000003E-2</v>
      </c>
      <c r="Q28" s="74">
        <f ca="1">_xll.QDates_AddPeriod(ValDate,K28,"F","NYC+JHB")</f>
        <v>44579</v>
      </c>
      <c r="R28" s="111">
        <f t="shared" si="1"/>
        <v>15.912000000000001</v>
      </c>
      <c r="T28" s="1"/>
      <c r="U28" s="11"/>
      <c r="V28" s="11"/>
      <c r="X28" s="1"/>
      <c r="Y28" s="11"/>
    </row>
    <row r="29" spans="1:25" x14ac:dyDescent="0.25">
      <c r="A29" t="str">
        <f ca="1">_xll.QCurves_ExtractCurveFromModel(B27,E18,E18)</f>
        <v>ZAR.DISC.[USD.LIBOR.3M]¬1</v>
      </c>
      <c r="K29" s="73" t="s">
        <v>86</v>
      </c>
      <c r="L29" s="78">
        <f>_xll.BDP("USDZARV"&amp;K29&amp;" Curncy","PX_LAST")/100</f>
        <v>0.194525</v>
      </c>
      <c r="M29" s="66">
        <f>_xll.BDP("USDZAR25R"&amp;K29&amp;" Curncy","PX_LAST")/100</f>
        <v>6.0100000000000001E-2</v>
      </c>
      <c r="N29" s="67">
        <f>_xll.BDP("USDZAR10R"&amp;K29&amp;" Curncy","PX_LAST")/100</f>
        <v>0.11105000000000001</v>
      </c>
      <c r="O29" s="66">
        <f>_xll.BDP("USDZAR25B"&amp;K29&amp;" Curncy","PX_LAST")/100</f>
        <v>1.0149999999999999E-2</v>
      </c>
      <c r="P29" s="67">
        <f>_xll.BDP("USDZAR10B"&amp;K29&amp;" Curncy","PX_LAST")/100</f>
        <v>2.445E-2</v>
      </c>
      <c r="Q29" s="74">
        <f ca="1">_xll.QDates_AddPeriod(ValDate,K29,"F","NYC+JHB")</f>
        <v>44944</v>
      </c>
      <c r="R29" s="111">
        <f>AVERAGE(R28,R30)</f>
        <v>16.899450000000002</v>
      </c>
      <c r="T29" s="1"/>
      <c r="U29" s="11"/>
      <c r="V29" s="11"/>
      <c r="X29" s="1"/>
      <c r="Y29" s="11"/>
    </row>
    <row r="30" spans="1:25" x14ac:dyDescent="0.25">
      <c r="A30" s="57" t="str">
        <f ca="1">_xll.QCurves_ExtractCurveFromModel(B27,E19,E19)</f>
        <v>USD.LIBOR.3M¬1</v>
      </c>
      <c r="K30" s="75" t="s">
        <v>22</v>
      </c>
      <c r="L30" s="79">
        <f>_xll.BDP("USDZARV"&amp;K30&amp;" Curncy","PX_LAST")/100</f>
        <v>0.20535</v>
      </c>
      <c r="M30" s="68">
        <f>_xll.BDP("USDZAR25R"&amp;K30&amp;" Curncy","PX_LAST")/100</f>
        <v>6.4649999999999999E-2</v>
      </c>
      <c r="N30" s="69">
        <f>_xll.BDP("USDZAR10R"&amp;K30&amp;" Curncy","PX_LAST")/100</f>
        <v>0.11990000000000001</v>
      </c>
      <c r="O30" s="68">
        <f>_xll.BDP("USDZAR25B"&amp;K30&amp;" Curncy","PX_LAST")/100</f>
        <v>1.03E-2</v>
      </c>
      <c r="P30" s="69">
        <f>_xll.BDP("USDZAR10B"&amp;K30&amp;" Curncy","PX_LAST")/100</f>
        <v>2.8549999999999999E-2</v>
      </c>
      <c r="Q30" s="74">
        <f ca="1">_xll.QDates_AddPeriod(ValDate,K30,"F","NYC+JHB")</f>
        <v>45309</v>
      </c>
      <c r="R30" s="111">
        <f t="shared" si="1"/>
        <v>17.886900000000001</v>
      </c>
      <c r="T30" s="1"/>
      <c r="U30" s="11"/>
      <c r="V30" s="11"/>
      <c r="X30" s="1"/>
      <c r="Y30" s="11"/>
    </row>
    <row r="31" spans="1:25" x14ac:dyDescent="0.25">
      <c r="T31" s="1"/>
      <c r="U31" s="11"/>
      <c r="V31" s="11"/>
      <c r="X31" s="1"/>
      <c r="Y31" s="11"/>
    </row>
    <row r="32" spans="1:25" x14ac:dyDescent="0.25"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"/>
      <c r="U32" s="11"/>
      <c r="V32" s="11"/>
      <c r="X32" s="1"/>
      <c r="Y32" s="11"/>
    </row>
    <row r="33" spans="10:25" x14ac:dyDescent="0.25"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"/>
      <c r="U33" s="11"/>
      <c r="V33" s="11"/>
      <c r="X33" s="1"/>
      <c r="Y33" s="11"/>
    </row>
    <row r="34" spans="10:25" x14ac:dyDescent="0.25"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"/>
      <c r="U34" s="11"/>
      <c r="V34" s="11"/>
      <c r="X34" s="1"/>
      <c r="Y34" s="11"/>
    </row>
    <row r="35" spans="10:25" x14ac:dyDescent="0.25"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"/>
      <c r="U35" s="11"/>
      <c r="V35" s="11"/>
      <c r="X35" s="1"/>
      <c r="Y35" s="11"/>
    </row>
    <row r="36" spans="10:25" x14ac:dyDescent="0.25"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"/>
      <c r="U36" s="11"/>
      <c r="V36" s="11"/>
      <c r="X36" s="1"/>
      <c r="Y36" s="11"/>
    </row>
    <row r="37" spans="10:25" x14ac:dyDescent="0.25"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"/>
      <c r="U37" s="11"/>
      <c r="V37" s="11"/>
      <c r="X37" s="1"/>
      <c r="Y37" s="11"/>
    </row>
    <row r="38" spans="10:25" x14ac:dyDescent="0.25"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"/>
      <c r="U38" s="11"/>
      <c r="V38" s="11"/>
      <c r="X38" s="1"/>
      <c r="Y38" s="11"/>
    </row>
    <row r="39" spans="10:25" x14ac:dyDescent="0.25"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"/>
      <c r="U39" s="11"/>
      <c r="V39" s="11"/>
      <c r="X39" s="1"/>
      <c r="Y39" s="11"/>
    </row>
    <row r="40" spans="10:25" x14ac:dyDescent="0.25"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"/>
      <c r="U40" s="11"/>
      <c r="V40" s="11"/>
      <c r="X40" s="1"/>
      <c r="Y40" s="11"/>
    </row>
    <row r="41" spans="10:25" x14ac:dyDescent="0.25"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"/>
    </row>
    <row r="42" spans="10:25" x14ac:dyDescent="0.25"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"/>
    </row>
    <row r="43" spans="10:25" x14ac:dyDescent="0.25"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"/>
    </row>
    <row r="44" spans="10:25" x14ac:dyDescent="0.25"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"/>
    </row>
    <row r="45" spans="10:25" x14ac:dyDescent="0.25"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"/>
    </row>
    <row r="46" spans="10:25" x14ac:dyDescent="0.25"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"/>
    </row>
    <row r="47" spans="10:25" x14ac:dyDescent="0.25"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"/>
    </row>
    <row r="48" spans="10:25" x14ac:dyDescent="0.25"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"/>
    </row>
    <row r="49" spans="10:20" x14ac:dyDescent="0.25"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"/>
    </row>
    <row r="50" spans="10:20" x14ac:dyDescent="0.25"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"/>
    </row>
    <row r="51" spans="10:20" x14ac:dyDescent="0.25">
      <c r="T51" s="1"/>
    </row>
    <row r="52" spans="10:20" x14ac:dyDescent="0.25">
      <c r="T52" s="1"/>
    </row>
    <row r="53" spans="10:20" x14ac:dyDescent="0.25">
      <c r="T53" s="1"/>
    </row>
    <row r="54" spans="10:20" x14ac:dyDescent="0.25">
      <c r="T54" s="1"/>
    </row>
  </sheetData>
  <mergeCells count="2">
    <mergeCell ref="M17:N17"/>
    <mergeCell ref="O17:P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D291"/>
  <sheetViews>
    <sheetView topLeftCell="AE1" workbookViewId="0">
      <selection activeCell="AM22" sqref="AM22"/>
    </sheetView>
  </sheetViews>
  <sheetFormatPr defaultRowHeight="15" x14ac:dyDescent="0.25"/>
  <cols>
    <col min="1" max="1" width="12.7109375" customWidth="1"/>
    <col min="2" max="2" width="10.7109375" bestFit="1" customWidth="1"/>
    <col min="4" max="4" width="10.140625" bestFit="1" customWidth="1"/>
    <col min="5" max="5" width="10.42578125" bestFit="1" customWidth="1"/>
    <col min="6" max="6" width="11.42578125" bestFit="1" customWidth="1"/>
    <col min="8" max="8" width="11.42578125" bestFit="1" customWidth="1"/>
    <col min="11" max="11" width="10" customWidth="1"/>
    <col min="12" max="12" width="10" bestFit="1" customWidth="1"/>
    <col min="14" max="14" width="11.7109375" customWidth="1"/>
    <col min="15" max="15" width="10.5703125" bestFit="1" customWidth="1"/>
    <col min="17" max="17" width="11.28515625" bestFit="1" customWidth="1"/>
    <col min="18" max="18" width="11.140625" bestFit="1" customWidth="1"/>
    <col min="19" max="19" width="22.5703125" bestFit="1" customWidth="1"/>
    <col min="20" max="20" width="10.140625" bestFit="1" customWidth="1"/>
    <col min="21" max="21" width="12.28515625" bestFit="1" customWidth="1"/>
    <col min="22" max="22" width="12.42578125" bestFit="1" customWidth="1"/>
    <col min="23" max="23" width="14.28515625" customWidth="1"/>
    <col min="25" max="25" width="9.7109375" bestFit="1" customWidth="1"/>
    <col min="26" max="29" width="9.7109375" customWidth="1"/>
    <col min="30" max="30" width="9.7109375" bestFit="1" customWidth="1"/>
    <col min="31" max="34" width="9.7109375" customWidth="1"/>
    <col min="35" max="35" width="9.42578125" customWidth="1"/>
    <col min="37" max="37" width="9.7109375" bestFit="1" customWidth="1"/>
    <col min="38" max="38" width="12.28515625" bestFit="1" customWidth="1"/>
    <col min="39" max="39" width="13.140625" customWidth="1"/>
    <col min="42" max="42" width="10" bestFit="1" customWidth="1"/>
    <col min="44" max="44" width="9.85546875" bestFit="1" customWidth="1"/>
    <col min="45" max="45" width="9.7109375" bestFit="1" customWidth="1"/>
    <col min="46" max="46" width="9.5703125" bestFit="1" customWidth="1"/>
    <col min="47" max="47" width="12" customWidth="1"/>
    <col min="48" max="48" width="9.5703125" bestFit="1" customWidth="1"/>
    <col min="49" max="49" width="10.5703125" bestFit="1" customWidth="1"/>
    <col min="50" max="50" width="9.28515625" bestFit="1" customWidth="1"/>
    <col min="51" max="51" width="10.5703125" bestFit="1" customWidth="1"/>
  </cols>
  <sheetData>
    <row r="1" spans="1:56" x14ac:dyDescent="0.25">
      <c r="A1" s="2" t="s">
        <v>0</v>
      </c>
      <c r="B1" s="1">
        <f ca="1">TODAY()</f>
        <v>43483</v>
      </c>
      <c r="Q1" s="132" t="s">
        <v>9</v>
      </c>
      <c r="R1" s="132"/>
      <c r="S1" s="132"/>
      <c r="T1" s="132"/>
      <c r="Y1" s="4" t="s">
        <v>30</v>
      </c>
      <c r="AD1" s="27" t="s">
        <v>31</v>
      </c>
    </row>
    <row r="2" spans="1:56" x14ac:dyDescent="0.25">
      <c r="A2" s="2" t="s">
        <v>1</v>
      </c>
      <c r="B2" s="1">
        <f ca="1">_xll.QDates_GetLME3mDate(ValDate)</f>
        <v>43573</v>
      </c>
      <c r="Q2" s="3" t="str">
        <f ca="1">_xll.QCurves_CreatePriceCurve("Curve."&amp;Q5,Q5,ValDate,$D$6:$D$59,Q6:Q59,"LME",$A$6:$A$59,"USD","3M","2b","USD+GBP")</f>
        <v>Curve.AH¬1</v>
      </c>
      <c r="R2" s="3" t="str">
        <f ca="1">_xll.QCurves_CreatePriceCurve("Curve."&amp;R5,R5,ValDate,$D$6:$D$59,R6:R59,"LME",$A$6:$A$59,"USD","3M","2b","USD+GBP")</f>
        <v>Curve.CA¬1</v>
      </c>
      <c r="S2" s="3" t="str">
        <f ca="1">_xll.QCurves_CreatePriceCurve("Curve."&amp;S5,S5,ValDate,$D$6:$D$59,S6:S59,"LME",$A$6:$A$59,"USD","3M","2b","USD+GBP")</f>
        <v>Curve.ZS¬1</v>
      </c>
      <c r="T2" s="3" t="str">
        <f ca="1">_xll.QCurves_CreatePriceCurve("Curve."&amp;T5,T5,ValDate,$D$6:$D$59,T6:T59,"LME",$A$6:$A$59,"USD","3M","2b","USD+GBP")</f>
        <v>Curve.NI¬1</v>
      </c>
      <c r="U2" s="3" t="str">
        <f ca="1">_xll.QCurves_CreateContangoPriceCurve("Curve.XPD","XPD",ValDate,cashDate,U3,B74:B81,D74:D81,A74:A81)</f>
        <v>Curve.XPD¬1</v>
      </c>
      <c r="V2" s="3" t="str">
        <f ca="1">_xll.QCurves_CreateContangoPriceCurve("Curve.XAU","XAU",ValDate,cashDate,V3,B64:B71,D64:D71,A64:A71)</f>
        <v>Curve.XAU¬1</v>
      </c>
      <c r="Y2" s="132" t="s">
        <v>34</v>
      </c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R2" s="12"/>
      <c r="AS2" s="12"/>
      <c r="AY2" t="s">
        <v>40</v>
      </c>
      <c r="AZ2" t="s">
        <v>3</v>
      </c>
      <c r="BB2" t="s">
        <v>66</v>
      </c>
      <c r="BC2" t="s">
        <v>72</v>
      </c>
      <c r="BD2" t="s">
        <v>76</v>
      </c>
    </row>
    <row r="3" spans="1:56" x14ac:dyDescent="0.25">
      <c r="A3" s="2" t="s">
        <v>2</v>
      </c>
      <c r="B3" s="1">
        <f ca="1">_xll.QDates_SpotDate(ValDate,"2b","LON","NYC")</f>
        <v>43487</v>
      </c>
      <c r="O3" s="2"/>
      <c r="P3" s="2" t="s">
        <v>10</v>
      </c>
      <c r="Q3" s="90">
        <f>_xll.BDP("LM"&amp;E5&amp;"DS03 Comdty","PX_LAST")</f>
        <v>1873</v>
      </c>
      <c r="R3" s="90">
        <f>_xll.BDP("LM"&amp;H5&amp;"DS03 Comdty","PX_LAST")</f>
        <v>6039.5</v>
      </c>
      <c r="S3" s="90">
        <f>_xll.BDP("LM"&amp;K5&amp;"DS03 Comdty","PX_LAST")</f>
        <v>2580</v>
      </c>
      <c r="T3" s="90">
        <f>_xll.BDP("LM"&amp;N5&amp;"DS03 Comdty","PX_LAST")</f>
        <v>11720</v>
      </c>
      <c r="U3" s="90">
        <f>_xll.BDP("XPD Curncy","PX_LAST")</f>
        <v>1417.78</v>
      </c>
      <c r="V3" s="90">
        <f>_xll.BDP("XAU Curncy","PX_LAST")</f>
        <v>1288.6600000000001</v>
      </c>
      <c r="Y3" t="str">
        <f ca="1">_xll.QVol_CreateGridVolSurface(Y4,Y4,ValDate,Y5:AC5,$W$6:$W$45,Y6:AC45,"ForwardDelta","Linear","LinearInVariance","ACT365F",$X$6:$X$45,"USD")</f>
        <v>AH¬1</v>
      </c>
      <c r="AD3" t="str">
        <f ca="1">_xll.QVol_CreateGridVolSurface(AD4,AD4,ValDate,AD5:AH5,$W$6:$W$45,AD6:AH45,"ForwardDelta","Linear","LinearInVariance","ACT365F",$X$6:$X$45,"USD")</f>
        <v>CA¬1</v>
      </c>
      <c r="AG3" s="57" t="str">
        <f ca="1">_xll.QVol_CreateRiskyFlyVolSurface("XPDVol","XPD",ValDate,H63:I63,L64:L75,O64:O75,P64:Q75,R64:S75,U2,,"Market","Linear","LinearInVariance",F64:F75,"USD")</f>
        <v>XPDVol¬1</v>
      </c>
      <c r="AH3" t="str">
        <f ca="1">_xll.QVol_CreateRiskyFlyVolSurface("XAUVol","XAU",ValDate,H63:I63,L64:L75,G64:G75,H64:I75,J64:K75,V2,,"Market","GaussianKernel","LinearInVariance",F64:F75,"USD")</f>
        <v>XAUVol¬1</v>
      </c>
      <c r="AI3" t="str">
        <f ca="1">_xll.QVol_CreateGridVolSurface(AI4,AI4,ValDate,0.5,$W$6:$W$45,AI6:AI45,"ForwardDelta","Linear","LinearInVariance","ACT365F",$X$6:$X$45,"USD")</f>
        <v>ZS¬1</v>
      </c>
      <c r="AJ3" t="str">
        <f ca="1">_xll.QVol_CreateGridVolSurface(AJ4,AJ4,ValDate,0.5,$W$6:$W$45,AJ6:AJ45,"ForwardDelta","Linear","LinearInVariance","ACT365F",$X$6:$X$45,"USD")</f>
        <v>NI¬1</v>
      </c>
      <c r="AL3" s="2" t="s">
        <v>53</v>
      </c>
      <c r="AM3" s="1">
        <f ca="1">_xll.QDates_SubtractPeriod(ValDate,"1b","P","LON")</f>
        <v>43482</v>
      </c>
      <c r="AR3" s="1"/>
      <c r="AY3" t="s">
        <v>39</v>
      </c>
      <c r="AZ3" t="s">
        <v>5</v>
      </c>
      <c r="BB3" t="s">
        <v>67</v>
      </c>
      <c r="BC3" t="s">
        <v>71</v>
      </c>
      <c r="BD3" t="s">
        <v>10</v>
      </c>
    </row>
    <row r="4" spans="1:56" x14ac:dyDescent="0.25">
      <c r="A4" s="2"/>
      <c r="B4" s="3"/>
      <c r="E4" s="139" t="s">
        <v>58</v>
      </c>
      <c r="F4" s="140"/>
      <c r="G4" s="140"/>
      <c r="H4" s="140"/>
      <c r="I4" s="140"/>
      <c r="J4" s="140"/>
      <c r="K4" s="140"/>
      <c r="L4" s="140"/>
      <c r="M4" s="140"/>
      <c r="N4" s="140"/>
      <c r="O4" s="38"/>
      <c r="P4" s="39"/>
      <c r="Q4" s="139" t="s">
        <v>8</v>
      </c>
      <c r="R4" s="140"/>
      <c r="S4" s="140"/>
      <c r="T4" s="141"/>
      <c r="Y4" s="133" t="s">
        <v>3</v>
      </c>
      <c r="Z4" s="134"/>
      <c r="AA4" s="134"/>
      <c r="AB4" s="134"/>
      <c r="AC4" s="135"/>
      <c r="AD4" s="136" t="s">
        <v>5</v>
      </c>
      <c r="AE4" s="137"/>
      <c r="AF4" s="137"/>
      <c r="AG4" s="137"/>
      <c r="AH4" s="138"/>
      <c r="AI4" s="4" t="s">
        <v>6</v>
      </c>
      <c r="AJ4" s="4" t="s">
        <v>7</v>
      </c>
      <c r="AL4" s="17" t="s">
        <v>54</v>
      </c>
      <c r="AM4" s="1">
        <f ca="1">AM3-251</f>
        <v>43231</v>
      </c>
      <c r="AR4" s="1"/>
      <c r="AY4" t="s">
        <v>41</v>
      </c>
      <c r="AZ4" t="s">
        <v>6</v>
      </c>
      <c r="BC4" t="s">
        <v>73</v>
      </c>
    </row>
    <row r="5" spans="1:56" x14ac:dyDescent="0.25">
      <c r="E5" s="40" t="s">
        <v>3</v>
      </c>
      <c r="F5" s="41" t="s">
        <v>59</v>
      </c>
      <c r="G5" s="42" t="s">
        <v>60</v>
      </c>
      <c r="H5" s="40" t="s">
        <v>5</v>
      </c>
      <c r="I5" s="41" t="s">
        <v>59</v>
      </c>
      <c r="J5" s="42" t="s">
        <v>60</v>
      </c>
      <c r="K5" s="40" t="s">
        <v>6</v>
      </c>
      <c r="L5" s="41" t="s">
        <v>59</v>
      </c>
      <c r="M5" s="42"/>
      <c r="N5" s="40" t="s">
        <v>7</v>
      </c>
      <c r="O5" s="41" t="s">
        <v>59</v>
      </c>
      <c r="P5" s="42" t="s">
        <v>60</v>
      </c>
      <c r="Q5" s="16" t="s">
        <v>3</v>
      </c>
      <c r="R5" s="32" t="s">
        <v>5</v>
      </c>
      <c r="S5" s="35" t="s">
        <v>6</v>
      </c>
      <c r="T5" s="36" t="s">
        <v>7</v>
      </c>
      <c r="Y5" s="100">
        <v>0.1</v>
      </c>
      <c r="Z5" s="101">
        <v>0.25</v>
      </c>
      <c r="AA5" s="102">
        <v>0.5</v>
      </c>
      <c r="AB5" s="101">
        <v>0.75</v>
      </c>
      <c r="AC5" s="103">
        <v>0.9</v>
      </c>
      <c r="AD5" s="104">
        <v>0.1</v>
      </c>
      <c r="AE5" s="105">
        <v>0.25</v>
      </c>
      <c r="AF5" s="106">
        <v>0.5</v>
      </c>
      <c r="AG5" s="105">
        <v>0.75</v>
      </c>
      <c r="AH5" s="107">
        <v>0.9</v>
      </c>
      <c r="AI5" s="4" t="s">
        <v>33</v>
      </c>
      <c r="AJ5" s="4" t="s">
        <v>32</v>
      </c>
      <c r="AL5" s="1"/>
      <c r="AR5" s="1"/>
      <c r="AY5" t="s">
        <v>85</v>
      </c>
      <c r="AZ5" t="s">
        <v>89</v>
      </c>
    </row>
    <row r="6" spans="1:56" x14ac:dyDescent="0.25">
      <c r="A6" t="str">
        <f>"00"</f>
        <v>00</v>
      </c>
      <c r="B6" t="s">
        <v>4</v>
      </c>
      <c r="D6" s="1">
        <f ca="1">B3</f>
        <v>43487</v>
      </c>
      <c r="E6" s="43">
        <f>_xll.QUtils_ErrorReplace(IF($B6="S 0303",0,_xll.BDP("LM"&amp;E$5&amp;"D"&amp;$B6&amp;" Comdty","PX_SETTLE")),0)</f>
        <v>-13.75</v>
      </c>
      <c r="F6" s="44">
        <f>E6</f>
        <v>-13.75</v>
      </c>
      <c r="G6" s="45">
        <f t="array" aca="1" ref="G6:G59" ca="1">_xll.QCurves_BendCurve(E6:E59,F6:F59)</f>
        <v>-13.75</v>
      </c>
      <c r="H6" s="43">
        <f>_xll.QUtils_ErrorReplace(IF($B6="S 0303",0,_xll.BDP("LM"&amp;H$5&amp;"D"&amp;$B6&amp;" Comdty","PX_SETTLE")),0)</f>
        <v>-27.25</v>
      </c>
      <c r="I6" s="44">
        <f>H6</f>
        <v>-27.25</v>
      </c>
      <c r="J6" s="45">
        <f t="array" aca="1" ref="J6:J59" ca="1">_xll.QCurves_BendCurve(H6:H59,I6:I59)</f>
        <v>-27.25</v>
      </c>
      <c r="K6" s="43">
        <f>_xll.QUtils_ErrorReplace(IF($B6="S 0303",0,_xll.BDP("LM"&amp;K$5&amp;"D"&amp;$B6&amp;" Comdty","PX_SETTLE")),0)</f>
        <v>7.25</v>
      </c>
      <c r="L6" s="44">
        <f>K6</f>
        <v>7.25</v>
      </c>
      <c r="M6" s="45">
        <f t="array" aca="1" ref="M6:M59" ca="1">_xll.QCurves_BendCurve(K6:K59,L6:L59)</f>
        <v>7.25</v>
      </c>
      <c r="N6" s="43">
        <f>_xll.QUtils_ErrorReplace(IF($B6="S 0303",0,_xll.BDP("LM"&amp;N$5&amp;"D"&amp;$B6&amp;" Comdty","PX_SETTLE")),0)</f>
        <v>-44.5</v>
      </c>
      <c r="O6" s="6">
        <f>N6</f>
        <v>-44.5</v>
      </c>
      <c r="P6" s="7">
        <f t="array" aca="1" ref="P6:P59" ca="1">_xll.QCurves_BendCurve(N6:N59,O6:O59)</f>
        <v>-44.5</v>
      </c>
      <c r="Q6" s="33">
        <f t="shared" ref="Q6:Q37" ca="1" si="0">IF($D6&lt;m3Date,Q$3+G6,Q$3-G6)</f>
        <v>1859.25</v>
      </c>
      <c r="R6" s="34">
        <f t="shared" ref="R6:R37" ca="1" si="1">IF($D6&lt;m3Date,R$3+J6,R$3-J6)</f>
        <v>6012.25</v>
      </c>
      <c r="S6" s="6">
        <f t="shared" ref="S6:S37" ca="1" si="2">IF($D6&lt;m3Date,S$3+M6,S$3-M6)</f>
        <v>2587.25</v>
      </c>
      <c r="T6" s="7">
        <f t="shared" ref="T6:T37" ca="1" si="3">IF($D6&lt;m3Date,T$3+P6,T$3-P6)</f>
        <v>11675.5</v>
      </c>
      <c r="W6" s="1">
        <f ca="1">IF(ValDate&gt;=_xll.QDates_SpecificWeekday(ValDate,"Wednesday",1),_xll.QDates_SpecificWeekday(EDATE(ValDate,1),"Wednesday",1),_xll.QDates_SpecificWeekday(ValDate,"Wednesday",1))</f>
        <v>43502</v>
      </c>
      <c r="X6" t="str">
        <f ca="1">UPPER(TEXT(W6,"MMMYY"))</f>
        <v>FEB19</v>
      </c>
      <c r="Y6" s="19">
        <f ca="1">_xll.BDP(Y$1&amp;" "&amp;$X6&amp;" 10DP VOL LME Comdty","PX_LAST")/100</f>
        <v>0.18849655151367187</v>
      </c>
      <c r="Z6" s="20">
        <f ca="1">_xll.BDP(Y$1&amp;" "&amp;$X6&amp;" 25DP VOL LME Comdty","PX_LAST")/100</f>
        <v>0.18209793090820312</v>
      </c>
      <c r="AA6" s="25">
        <f ca="1">_xll.BDP(Y$1&amp;" "&amp;$X6&amp;" 50D VOL LME Comdty","PX_LAST")/100</f>
        <v>0.17949998855590821</v>
      </c>
      <c r="AB6" s="20">
        <f ca="1">_xll.BDP(Y$1&amp;" "&amp;$X6&amp;" 25DC VOL LME Comdty","PX_LAST")/100</f>
        <v>0.18589532852172852</v>
      </c>
      <c r="AC6" s="21">
        <f ca="1">_xll.BDP(Y$1&amp;" "&amp;$X6&amp;" 10DC VOL LME Comdty","PX_LAST")/100</f>
        <v>0.19789344787597657</v>
      </c>
      <c r="AD6" s="28">
        <f ca="1">_xll.BDP(AD$1&amp;" "&amp;$X6&amp;" 10DP VOL LME Comdty","PX_LAST")/100</f>
        <v>0.18369508743286134</v>
      </c>
      <c r="AE6" s="29">
        <f ca="1">_xll.BDP(AD$1&amp;" "&amp;$X6&amp;" 25DP VOL LME Comdty","PX_LAST")/100</f>
        <v>0.17369548797607423</v>
      </c>
      <c r="AF6" s="30">
        <f ca="1">_xll.BDP(AD$1&amp;" "&amp;$X6&amp;" 50D VOL LME Comdty","PX_LAST")/100</f>
        <v>0.16290006637573243</v>
      </c>
      <c r="AG6" s="29">
        <f ca="1">_xll.BDP(AD$1&amp;" "&amp;$X6&amp;" 25DC VOL LME Comdty","PX_LAST")/100</f>
        <v>0.16779697418212891</v>
      </c>
      <c r="AH6" s="31">
        <f ca="1">_xll.BDP(AD$1&amp;" "&amp;$X6&amp;" 10DC VOL LME Comdty","PX_LAST")/100</f>
        <v>0.17409645080566405</v>
      </c>
      <c r="AI6" s="11">
        <f ca="1">_xll.BDP(AI$5&amp;" "&amp;$X6&amp;" 50D VOL LME Comdty","PX_LAST")/100</f>
        <v>0.23570003509521484</v>
      </c>
      <c r="AJ6" s="11">
        <f ca="1">_xll.BDP(AJ$5&amp;" "&amp;$X6&amp;" 50D VOL LME Comdty","PX_LAST")/100</f>
        <v>0.24459980010986329</v>
      </c>
      <c r="AL6" t="str">
        <f ca="1">_xll.QCurves_CreateFixingDictionary("Fixings."&amp;AL7,AL7,_xll.BDH("LO"&amp;AL$7&amp;"DY Comdty","PX_SETTLE",$AM$4,$AM$3,"Array=true"))</f>
        <v>Fixings.AH¬1</v>
      </c>
      <c r="AM6" t="str">
        <f ca="1">_xll.QCurves_CreateFixingDictionary("Fixings."&amp;AM7,AM7,_xll.BDH("LO"&amp;AM$7&amp;"DY Comdty","PX_SETTLE",$AM$4,$AM$3,"Array=true"))</f>
        <v>Fixings.CA¬1</v>
      </c>
      <c r="AN6" t="str">
        <f ca="1">_xll.QCurves_CreateFixingDictionary("Fixings."&amp;AN7,AN7,_xll.BDH("LO"&amp;AN$7&amp;"DY Comdty","PX_SETTLE",$AM$4,$AM$3,"Array=true"))</f>
        <v>Fixings.ZS¬1</v>
      </c>
      <c r="AO6" t="str">
        <f ca="1">_xll.QCurves_CreateFixingDictionary("Fixings."&amp;AO7,AO7,_xll.BDH("LO"&amp;AO$7&amp;"DY Comdty","PX_SETTLE",$AM$4,$AM$3,"Array=true"))</f>
        <v>Fixings.NI¬1</v>
      </c>
      <c r="AP6" t="str">
        <f ca="1">_xll.QCurves_CreateFixingDictionary("Fixings."&amp;AP7,AP7,_xll.BDH("ZAR L130 Curncy","PX_LAST",$AM$4,$AM$3,"Array=true"),"FX")</f>
        <v>Fixings.USDZAR¬1</v>
      </c>
      <c r="AQ6" s="57" t="str">
        <f ca="1">_xll.QCurves_CreateFixingDictionary("Fixings."&amp;AQ7,AQ7,_xll.BDH("GOLDLNAM Index","PX_LAST",$AM$4,$AM$3,"Array=true"),"FX")</f>
        <v>Fixings.XAU¬1</v>
      </c>
      <c r="AR6" s="1"/>
      <c r="AY6" t="s">
        <v>106</v>
      </c>
      <c r="AZ6" t="s">
        <v>107</v>
      </c>
    </row>
    <row r="7" spans="1:56" x14ac:dyDescent="0.25">
      <c r="A7" t="str">
        <f ca="1">IF(D7=m3Date,"03",_xll.QDates_GetMonthCodeAndYear(D7,2))</f>
        <v>G19</v>
      </c>
      <c r="B7" t="str">
        <f t="shared" ref="B7:B38" ca="1" si="4">IF(D7&lt;m3Date,"S "&amp;A7&amp;"03","S 03"&amp;A7)</f>
        <v>S G1903</v>
      </c>
      <c r="D7" s="1">
        <f ca="1">_xll.QDates_NextLMECurveDate(D6,m3Date,FALSE)</f>
        <v>43516</v>
      </c>
      <c r="E7" s="43">
        <f ca="1">_xll.QUtils_ErrorReplace(IF($B7="S 0303",0,_xll.BDP("LM"&amp;E$5&amp;"D"&amp;$B7&amp;" Comdty","PX_SETTLE")),0)</f>
        <v>-4.75</v>
      </c>
      <c r="F7" s="44"/>
      <c r="G7" s="45">
        <f ca="1"/>
        <v>-4.75</v>
      </c>
      <c r="H7" s="43">
        <f ca="1">_xll.QUtils_ErrorReplace(IF($B7="S 0303",0,_xll.BDP("LM"&amp;H$5&amp;"D"&amp;$B7&amp;" Comdty","PX_SETTLE")),0)</f>
        <v>-10.25</v>
      </c>
      <c r="I7" s="44"/>
      <c r="J7" s="45">
        <f ca="1"/>
        <v>-10.25</v>
      </c>
      <c r="K7" s="43">
        <f ca="1">_xll.QUtils_ErrorReplace(IF($B7="S 0303",0,_xll.BDP("LM"&amp;K$5&amp;"D"&amp;$B7&amp;" Comdty","PX_SETTLE")),0)</f>
        <v>17.25</v>
      </c>
      <c r="L7" s="44"/>
      <c r="M7" s="45">
        <f ca="1"/>
        <v>17.25</v>
      </c>
      <c r="N7" s="43">
        <f ca="1">_xll.QUtils_ErrorReplace(IF($B7="S 0303",0,_xll.BDP("LM"&amp;N$5&amp;"D"&amp;$B7&amp;" Comdty","PX_SETTLE")),0)</f>
        <v>-44.5</v>
      </c>
      <c r="O7" s="6"/>
      <c r="P7" s="7">
        <f ca="1"/>
        <v>-44.5</v>
      </c>
      <c r="Q7" s="33">
        <f t="shared" ca="1" si="0"/>
        <v>1868.25</v>
      </c>
      <c r="R7" s="34">
        <f t="shared" ca="1" si="1"/>
        <v>6029.25</v>
      </c>
      <c r="S7" s="6">
        <f t="shared" ca="1" si="2"/>
        <v>2597.25</v>
      </c>
      <c r="T7" s="7">
        <f t="shared" ca="1" si="3"/>
        <v>11675.5</v>
      </c>
      <c r="V7" s="15"/>
      <c r="W7" s="1">
        <f ca="1">_xll.QDates_SpecificWeekday(EDATE(W6,1),"Wednesday",1)</f>
        <v>43530</v>
      </c>
      <c r="X7" t="str">
        <f t="shared" ref="X7:X45" ca="1" si="5">UPPER(TEXT(W7,"MMMYY"))</f>
        <v>MAR19</v>
      </c>
      <c r="Y7" s="19">
        <f ca="1">_xll.BDP(Y$1&amp;" "&amp;$X7&amp;" 10DP VOL LME Comdty","PX_LAST")/100</f>
        <v>0.19039686203002928</v>
      </c>
      <c r="Z7" s="20">
        <f ca="1">_xll.BDP(Y$1&amp;" "&amp;$X7&amp;" 25DP VOL LME Comdty","PX_LAST")/100</f>
        <v>0.18489826202392579</v>
      </c>
      <c r="AA7" s="25">
        <f ca="1">_xll.BDP(Y$1&amp;" "&amp;$X7&amp;" 50D VOL LME Comdty","PX_LAST")/100</f>
        <v>0.18289995193481445</v>
      </c>
      <c r="AB7" s="20">
        <f ca="1">_xll.BDP(Y$1&amp;" "&amp;$X7&amp;" 25DC VOL LME Comdty","PX_LAST")/100</f>
        <v>0.18939517974853515</v>
      </c>
      <c r="AC7" s="21">
        <f ca="1">_xll.BDP(Y$1&amp;" "&amp;$X7&amp;" 10DC VOL LME Comdty","PX_LAST")/100</f>
        <v>0.20099353790283203</v>
      </c>
      <c r="AD7" s="28">
        <f ca="1">_xll.BDP(AD$1&amp;" "&amp;$X7&amp;" 10DP VOL LME Comdty","PX_LAST")/100</f>
        <v>0.19149490356445312</v>
      </c>
      <c r="AE7" s="29">
        <f ca="1">_xll.BDP(AD$1&amp;" "&amp;$X7&amp;" 25DP VOL LME Comdty","PX_LAST")/100</f>
        <v>0.18039556503295898</v>
      </c>
      <c r="AF7" s="30">
        <f ca="1">_xll.BDP(AD$1&amp;" "&amp;$X7&amp;" 50D VOL LME Comdty","PX_LAST")/100</f>
        <v>0.17030010223388672</v>
      </c>
      <c r="AG7" s="29">
        <f ca="1">_xll.BDP(AD$1&amp;" "&amp;$X7&amp;" 25DC VOL LME Comdty","PX_LAST")/100</f>
        <v>0.17429697036743164</v>
      </c>
      <c r="AH7" s="31">
        <f ca="1">_xll.BDP(AD$1&amp;" "&amp;$X7&amp;" 10DC VOL LME Comdty","PX_LAST")/100</f>
        <v>0.18079648971557616</v>
      </c>
      <c r="AI7" s="11">
        <f ca="1">_xll.BDP(AI$5&amp;" "&amp;$X7&amp;" 50D VOL LME Comdty","PX_LAST")/100</f>
        <v>0.24010007858276367</v>
      </c>
      <c r="AJ7" s="11">
        <f ca="1">_xll.BDP(AJ$5&amp;" "&amp;$X7&amp;" 50D VOL LME Comdty","PX_LAST")/100</f>
        <v>0.2604996681213379</v>
      </c>
      <c r="AL7" s="4" t="s">
        <v>3</v>
      </c>
      <c r="AM7" s="4" t="s">
        <v>5</v>
      </c>
      <c r="AN7" s="4" t="s">
        <v>6</v>
      </c>
      <c r="AO7" s="4" t="s">
        <v>7</v>
      </c>
      <c r="AP7" s="17" t="s">
        <v>50</v>
      </c>
      <c r="AQ7" s="89" t="s">
        <v>89</v>
      </c>
      <c r="AR7" s="1"/>
      <c r="AY7" t="s">
        <v>43</v>
      </c>
      <c r="AZ7" t="s">
        <v>7</v>
      </c>
    </row>
    <row r="8" spans="1:56" x14ac:dyDescent="0.25">
      <c r="A8" t="str">
        <f ca="1">IF(D8=m3Date,"03",_xll.QDates_GetMonthCodeAndYear(D8,2))</f>
        <v>H19</v>
      </c>
      <c r="B8" t="str">
        <f t="shared" ca="1" si="4"/>
        <v>S H1903</v>
      </c>
      <c r="D8" s="1">
        <f ca="1">_xll.QDates_NextLMECurveDate(D7,m3Date,FALSE)</f>
        <v>43544</v>
      </c>
      <c r="E8" s="43">
        <f ca="1">_xll.QUtils_ErrorReplace(IF($B8="S 0303",0,_xll.BDP("LM"&amp;E$5&amp;"D"&amp;$B8&amp;" Comdty","PX_SETTLE")),0)</f>
        <v>4</v>
      </c>
      <c r="F8" s="44"/>
      <c r="G8" s="45">
        <f ca="1"/>
        <v>4</v>
      </c>
      <c r="H8" s="43">
        <f ca="1">_xll.QUtils_ErrorReplace(IF($B8="S 0303",0,_xll.BDP("LM"&amp;H$5&amp;"D"&amp;$B8&amp;" Comdty","PX_SETTLE")),0)</f>
        <v>-5.5</v>
      </c>
      <c r="I8" s="44"/>
      <c r="J8" s="45">
        <f ca="1"/>
        <v>-5.5</v>
      </c>
      <c r="K8" s="43">
        <f ca="1">_xll.QUtils_ErrorReplace(IF($B8="S 0303",0,_xll.BDP("LM"&amp;K$5&amp;"D"&amp;$B8&amp;" Comdty","PX_SETTLE")),0)</f>
        <v>8.5</v>
      </c>
      <c r="L8" s="44"/>
      <c r="M8" s="45">
        <f ca="1"/>
        <v>8.5</v>
      </c>
      <c r="N8" s="43">
        <f ca="1">_xll.QUtils_ErrorReplace(IF($B8="S 0303",0,_xll.BDP("LM"&amp;N$5&amp;"D"&amp;$B8&amp;" Comdty","PX_SETTLE")),0)</f>
        <v>-22</v>
      </c>
      <c r="O8" s="6"/>
      <c r="P8" s="7">
        <f ca="1"/>
        <v>-22</v>
      </c>
      <c r="Q8" s="33">
        <f ca="1">IF($D8&lt;m3Date,Q$3+G8,Q$3-G8)</f>
        <v>1877</v>
      </c>
      <c r="R8" s="34">
        <f t="shared" ca="1" si="1"/>
        <v>6034</v>
      </c>
      <c r="S8" s="6">
        <f t="shared" ca="1" si="2"/>
        <v>2588.5</v>
      </c>
      <c r="T8" s="7">
        <f t="shared" ca="1" si="3"/>
        <v>11698</v>
      </c>
      <c r="W8" s="1">
        <f ca="1">_xll.QDates_SpecificWeekday(EDATE(W7,1),"Wednesday",1)</f>
        <v>43558</v>
      </c>
      <c r="X8" t="str">
        <f t="shared" ca="1" si="5"/>
        <v>APR19</v>
      </c>
      <c r="Y8" s="19">
        <f ca="1">_xll.BDP(Y$1&amp;" "&amp;$X8&amp;" 10DP VOL LME Comdty","PX_LAST")/100</f>
        <v>0.19309679031372071</v>
      </c>
      <c r="Z8" s="20">
        <f ca="1">_xll.BDP(Y$1&amp;" "&amp;$X8&amp;" 25DP VOL LME Comdty","PX_LAST")/100</f>
        <v>0.18729827880859376</v>
      </c>
      <c r="AA8" s="25">
        <f ca="1">_xll.BDP(Y$1&amp;" "&amp;$X8&amp;" 50D VOL LME Comdty","PX_LAST")/100</f>
        <v>0.18529993057250976</v>
      </c>
      <c r="AB8" s="20">
        <f ca="1">_xll.BDP(Y$1&amp;" "&amp;$X8&amp;" 25DC VOL LME Comdty","PX_LAST")/100</f>
        <v>0.19249479293823243</v>
      </c>
      <c r="AC8" s="21">
        <f ca="1">_xll.BDP(Y$1&amp;" "&amp;$X8&amp;" 10DC VOL LME Comdty","PX_LAST")/100</f>
        <v>0.20459337234497071</v>
      </c>
      <c r="AD8" s="28">
        <f ca="1">_xll.BDP(AD$1&amp;" "&amp;$X8&amp;" 10DP VOL LME Comdty","PX_LAST")/100</f>
        <v>0.19999490737915038</v>
      </c>
      <c r="AE8" s="29">
        <f ca="1">_xll.BDP(AD$1&amp;" "&amp;$X8&amp;" 25DP VOL LME Comdty","PX_LAST")/100</f>
        <v>0.18939565658569335</v>
      </c>
      <c r="AF8" s="30">
        <f ca="1">_xll.BDP(AD$1&amp;" "&amp;$X8&amp;" 50D VOL LME Comdty","PX_LAST")/100</f>
        <v>0.1788001251220703</v>
      </c>
      <c r="AG8" s="29">
        <f ca="1">_xll.BDP(AD$1&amp;" "&amp;$X8&amp;" 25DC VOL LME Comdty","PX_LAST")/100</f>
        <v>0.1827969741821289</v>
      </c>
      <c r="AH8" s="31">
        <f ca="1">_xll.BDP(AD$1&amp;" "&amp;$X8&amp;" 10DC VOL LME Comdty","PX_LAST")/100</f>
        <v>0.18899654388427733</v>
      </c>
      <c r="AI8" s="11">
        <f ca="1">_xll.BDP(AI$5&amp;" "&amp;$X8&amp;" 50D VOL LME Comdty","PX_LAST")/100</f>
        <v>0.24110012054443358</v>
      </c>
      <c r="AJ8" s="11">
        <f ca="1">_xll.BDP(AJ$5&amp;" "&amp;$X8&amp;" 50D VOL LME Comdty","PX_LAST")/100</f>
        <v>0.27009958267211914</v>
      </c>
      <c r="AR8" s="1"/>
      <c r="AS8" t="s">
        <v>55</v>
      </c>
    </row>
    <row r="9" spans="1:56" x14ac:dyDescent="0.25">
      <c r="A9" t="str">
        <f ca="1">IF(D9=m3Date,"03",_xll.QDates_GetMonthCodeAndYear(D9,2))</f>
        <v>J19</v>
      </c>
      <c r="B9" t="str">
        <f t="shared" ca="1" si="4"/>
        <v>S J1903</v>
      </c>
      <c r="D9" s="1">
        <f ca="1">_xll.QDates_NextLMECurveDate(D8,m3Date,FALSE)</f>
        <v>43572</v>
      </c>
      <c r="E9" s="43">
        <f ca="1">_xll.QUtils_ErrorReplace(IF($B9="S 0303",0,_xll.BDP("LM"&amp;E$5&amp;"D"&amp;$B9&amp;" Comdty","PX_SETTLE")),0)</f>
        <v>0</v>
      </c>
      <c r="F9" s="44"/>
      <c r="G9" s="45">
        <f ca="1"/>
        <v>0</v>
      </c>
      <c r="H9" s="43">
        <f ca="1">_xll.QUtils_ErrorReplace(IF($B9="S 0303",0,_xll.BDP("LM"&amp;H$5&amp;"D"&amp;$B9&amp;" Comdty","PX_SETTLE")),0)</f>
        <v>0</v>
      </c>
      <c r="I9" s="44"/>
      <c r="J9" s="45">
        <f ca="1"/>
        <v>0</v>
      </c>
      <c r="K9" s="43">
        <f ca="1">_xll.QUtils_ErrorReplace(IF($B9="S 0303",0,_xll.BDP("LM"&amp;K$5&amp;"D"&amp;$B9&amp;" Comdty","PX_SETTLE")),0)</f>
        <v>0</v>
      </c>
      <c r="L9" s="44"/>
      <c r="M9" s="45">
        <f ca="1"/>
        <v>0</v>
      </c>
      <c r="N9" s="43">
        <f ca="1">_xll.QUtils_ErrorReplace(IF($B9="S 0303",0,_xll.BDP("LM"&amp;N$5&amp;"D"&amp;$B9&amp;" Comdty","PX_SETTLE")),0)</f>
        <v>0</v>
      </c>
      <c r="O9" s="6"/>
      <c r="P9" s="7">
        <f ca="1"/>
        <v>0</v>
      </c>
      <c r="Q9" s="33">
        <f t="shared" ca="1" si="0"/>
        <v>1873</v>
      </c>
      <c r="R9" s="34">
        <f t="shared" ca="1" si="1"/>
        <v>6039.5</v>
      </c>
      <c r="S9" s="6">
        <f t="shared" ca="1" si="2"/>
        <v>2580</v>
      </c>
      <c r="T9" s="7">
        <f t="shared" ca="1" si="3"/>
        <v>11720</v>
      </c>
      <c r="W9" s="1">
        <f ca="1">_xll.QDates_SpecificWeekday(EDATE(W8,1),"Wednesday",1)</f>
        <v>43586</v>
      </c>
      <c r="X9" t="str">
        <f t="shared" ca="1" si="5"/>
        <v>MAY19</v>
      </c>
      <c r="Y9" s="19">
        <f ca="1">_xll.BDP(Y$1&amp;" "&amp;$X9&amp;" 10DP VOL LME Comdty","PX_LAST")/100</f>
        <v>0.19249677658081055</v>
      </c>
      <c r="Z9" s="20">
        <f ca="1">_xll.BDP(Y$1&amp;" "&amp;$X9&amp;" 25DP VOL LME Comdty","PX_LAST")/100</f>
        <v>0.18659835815429687</v>
      </c>
      <c r="AA9" s="25">
        <f ca="1">_xll.BDP(Y$1&amp;" "&amp;$X9&amp;" 50D VOL LME Comdty","PX_LAST")/100</f>
        <v>0.18509988784790038</v>
      </c>
      <c r="AB9" s="20">
        <f ca="1">_xll.BDP(Y$1&amp;" "&amp;$X9&amp;" 25DC VOL LME Comdty","PX_LAST")/100</f>
        <v>0.19229473114013673</v>
      </c>
      <c r="AC9" s="21">
        <f ca="1">_xll.BDP(Y$1&amp;" "&amp;$X9&amp;" 10DC VOL LME Comdty","PX_LAST")/100</f>
        <v>0.20409347534179687</v>
      </c>
      <c r="AD9" s="28">
        <f ca="1">_xll.BDP(AD$1&amp;" "&amp;$X9&amp;" 10DP VOL LME Comdty","PX_LAST")/100</f>
        <v>0.2043947982788086</v>
      </c>
      <c r="AE9" s="29">
        <f ca="1">_xll.BDP(AD$1&amp;" "&amp;$X9&amp;" 25DP VOL LME Comdty","PX_LAST")/100</f>
        <v>0.19349563598632813</v>
      </c>
      <c r="AF9" s="30">
        <f ca="1">_xll.BDP(AD$1&amp;" "&amp;$X9&amp;" 50D VOL LME Comdty","PX_LAST")/100</f>
        <v>0.1823001480102539</v>
      </c>
      <c r="AG9" s="29">
        <f ca="1">_xll.BDP(AD$1&amp;" "&amp;$X9&amp;" 25DC VOL LME Comdty","PX_LAST")/100</f>
        <v>0.18639698028564453</v>
      </c>
      <c r="AH9" s="31">
        <f ca="1">_xll.BDP(AD$1&amp;" "&amp;$X9&amp;" 10DC VOL LME Comdty","PX_LAST")/100</f>
        <v>0.19229663848876954</v>
      </c>
      <c r="AI9" s="11">
        <f ca="1">_xll.BDP(AI$5&amp;" "&amp;$X9&amp;" 50D VOL LME Comdty","PX_LAST")/100</f>
        <v>0.24250015258789062</v>
      </c>
      <c r="AJ9" s="11">
        <f ca="1">_xll.BDP(AJ$5&amp;" "&amp;$X9&amp;" 50D VOL LME Comdty","PX_LAST")/100</f>
        <v>0.27529947280883788</v>
      </c>
      <c r="AR9" s="1"/>
      <c r="AT9" s="18" t="s">
        <v>3</v>
      </c>
      <c r="AU9" s="18" t="s">
        <v>5</v>
      </c>
      <c r="AV9" s="18" t="s">
        <v>6</v>
      </c>
      <c r="AW9" s="18" t="s">
        <v>7</v>
      </c>
      <c r="AX9" s="18" t="s">
        <v>50</v>
      </c>
      <c r="AY9" s="108" t="s">
        <v>89</v>
      </c>
    </row>
    <row r="10" spans="1:56" x14ac:dyDescent="0.25">
      <c r="A10" t="str">
        <f ca="1">IF(D10=m3Date,"03",_xll.QDates_GetMonthCodeAndYear(D10,2))</f>
        <v>03</v>
      </c>
      <c r="B10" t="str">
        <f t="shared" ca="1" si="4"/>
        <v>S 0303</v>
      </c>
      <c r="D10" s="1">
        <f ca="1">_xll.QDates_NextLMECurveDate(D9,m3Date,FALSE)</f>
        <v>43573</v>
      </c>
      <c r="E10" s="43">
        <f ca="1">_xll.QUtils_ErrorReplace(IF($B10="S 0303",0,_xll.BDP("LM"&amp;E$5&amp;"D"&amp;$B10&amp;" Comdty","PX_SETTLE")),0)</f>
        <v>0</v>
      </c>
      <c r="F10" s="44"/>
      <c r="G10" s="45">
        <f ca="1"/>
        <v>0</v>
      </c>
      <c r="H10" s="43">
        <f ca="1">_xll.QUtils_ErrorReplace(IF($B10="S 0303",0,_xll.BDP("LM"&amp;H$5&amp;"D"&amp;$B10&amp;" Comdty","PX_SETTLE")),0)</f>
        <v>0</v>
      </c>
      <c r="I10" s="44"/>
      <c r="J10" s="45">
        <f ca="1"/>
        <v>0</v>
      </c>
      <c r="K10" s="43">
        <f ca="1">_xll.QUtils_ErrorReplace(IF($B10="S 0303",0,_xll.BDP("LM"&amp;K$5&amp;"D"&amp;$B10&amp;" Comdty","PX_SETTLE")),0)</f>
        <v>0</v>
      </c>
      <c r="L10" s="44"/>
      <c r="M10" s="45">
        <f ca="1"/>
        <v>0</v>
      </c>
      <c r="N10" s="43">
        <f ca="1">_xll.QUtils_ErrorReplace(IF($B10="S 0303",0,_xll.BDP("LM"&amp;N$5&amp;"D"&amp;$B10&amp;" Comdty","PX_SETTLE")),0)</f>
        <v>0</v>
      </c>
      <c r="O10" s="6"/>
      <c r="P10" s="7">
        <f ca="1"/>
        <v>0</v>
      </c>
      <c r="Q10" s="33">
        <f t="shared" ca="1" si="0"/>
        <v>1873</v>
      </c>
      <c r="R10" s="34">
        <f t="shared" ca="1" si="1"/>
        <v>6039.5</v>
      </c>
      <c r="S10" s="6">
        <f t="shared" ca="1" si="2"/>
        <v>2580</v>
      </c>
      <c r="T10" s="7">
        <f t="shared" ca="1" si="3"/>
        <v>11720</v>
      </c>
      <c r="W10" s="1">
        <f ca="1">_xll.QDates_SpecificWeekday(EDATE(W9,1),"Wednesday",1)</f>
        <v>43621</v>
      </c>
      <c r="X10" t="str">
        <f t="shared" ca="1" si="5"/>
        <v>JUN19</v>
      </c>
      <c r="Y10" s="19">
        <f ca="1">_xll.BDP(Y$1&amp;" "&amp;$X10&amp;" 10DP VOL LME Comdty","PX_LAST")/100</f>
        <v>0.1924966812133789</v>
      </c>
      <c r="Z10" s="20">
        <f ca="1">_xll.BDP(Y$1&amp;" "&amp;$X10&amp;" 25DP VOL LME Comdty","PX_LAST")/100</f>
        <v>0.18639837265014647</v>
      </c>
      <c r="AA10" s="25">
        <f ca="1">_xll.BDP(Y$1&amp;" "&amp;$X10&amp;" 50D VOL LME Comdty","PX_LAST")/100</f>
        <v>0.18509984970092774</v>
      </c>
      <c r="AB10" s="20">
        <f ca="1">_xll.BDP(Y$1&amp;" "&amp;$X10&amp;" 25DC VOL LME Comdty","PX_LAST")/100</f>
        <v>0.19289449691772462</v>
      </c>
      <c r="AC10" s="21">
        <f ca="1">_xll.BDP(Y$1&amp;" "&amp;$X10&amp;" 10DC VOL LME Comdty","PX_LAST")/100</f>
        <v>0.20459352493286131</v>
      </c>
      <c r="AD10" s="28">
        <f ca="1">_xll.BDP(AD$1&amp;" "&amp;$X10&amp;" 10DP VOL LME Comdty","PX_LAST")/100</f>
        <v>0.20999441146850586</v>
      </c>
      <c r="AE10" s="29">
        <f ca="1">_xll.BDP(AD$1&amp;" "&amp;$X10&amp;" 25DP VOL LME Comdty","PX_LAST")/100</f>
        <v>0.19779544830322265</v>
      </c>
      <c r="AF10" s="30">
        <f ca="1">_xll.BDP(AD$1&amp;" "&amp;$X10&amp;" 50D VOL LME Comdty","PX_LAST")/100</f>
        <v>0.18610019683837892</v>
      </c>
      <c r="AG10" s="29">
        <f ca="1">_xll.BDP(AD$1&amp;" "&amp;$X10&amp;" 25DC VOL LME Comdty","PX_LAST")/100</f>
        <v>0.19019695281982421</v>
      </c>
      <c r="AH10" s="31">
        <f ca="1">_xll.BDP(AD$1&amp;" "&amp;$X10&amp;" 10DC VOL LME Comdty","PX_LAST")/100</f>
        <v>0.19599674224853517</v>
      </c>
      <c r="AI10" s="11">
        <f ca="1">_xll.BDP(AI$5&amp;" "&amp;$X10&amp;" 50D VOL LME Comdty","PX_LAST")/100</f>
        <v>0.24250022888183595</v>
      </c>
      <c r="AJ10" s="11">
        <f ca="1">_xll.BDP(AJ$5&amp;" "&amp;$X10&amp;" 50D VOL LME Comdty","PX_LAST")/100</f>
        <v>0.2808993721008301</v>
      </c>
      <c r="AL10" s="1"/>
      <c r="AR10" s="1"/>
      <c r="AS10" s="1">
        <f t="array" aca="1" ref="AS10:AT36" ca="1">_xll.QCurves_DisplayFixingDictionary(AL6,,TRUE)</f>
        <v>43482</v>
      </c>
      <c r="AT10" s="84">
        <f ca="1"/>
        <v>1804</v>
      </c>
      <c r="AU10" s="84">
        <f ca="1">_xll.QCurves_DisplayFixingDictionary(AM$6,$AS10)</f>
        <v>5933</v>
      </c>
      <c r="AV10" s="84">
        <f ca="1">_xll.QCurves_DisplayFixingDictionary(AN$6,$AS10)</f>
        <v>2502</v>
      </c>
      <c r="AW10" s="84">
        <f ca="1">_xll.QCurves_DisplayFixingDictionary(AO$6,$AS10)</f>
        <v>11450</v>
      </c>
      <c r="AX10" s="84">
        <f ca="1">_xll.QCurves_DisplayFixingDictionary(AP$6,$AS10)</f>
        <v>13.745200000000001</v>
      </c>
      <c r="AY10" s="84">
        <f ca="1">_xll.QCurves_DisplayFixingDictionary(AQ$6,$AS10)</f>
        <v>1294</v>
      </c>
    </row>
    <row r="11" spans="1:56" x14ac:dyDescent="0.25">
      <c r="A11" t="str">
        <f ca="1">IF(D11=m3Date,"03",_xll.QDates_GetMonthCodeAndYear(D11,2))</f>
        <v>K19</v>
      </c>
      <c r="B11" t="str">
        <f t="shared" ca="1" si="4"/>
        <v>S 03K19</v>
      </c>
      <c r="D11" s="1">
        <f ca="1">_xll.QDates_NextLMECurveDate(D10,m3Date,FALSE)</f>
        <v>43600</v>
      </c>
      <c r="E11" s="43">
        <f ca="1">_xll.QUtils_ErrorReplace(IF($B11="S 0303",0,_xll.BDP("LM"&amp;E$5&amp;"D"&amp;$B11&amp;" Comdty","PX_SETTLE")),0)</f>
        <v>-8.5</v>
      </c>
      <c r="F11" s="44"/>
      <c r="G11" s="45">
        <f ca="1"/>
        <v>-8.5</v>
      </c>
      <c r="H11" s="43">
        <f ca="1">_xll.QUtils_ErrorReplace(IF($B11="S 0303",0,_xll.BDP("LM"&amp;H$5&amp;"D"&amp;$B11&amp;" Comdty","PX_SETTLE")),0)</f>
        <v>-3.5</v>
      </c>
      <c r="I11" s="44"/>
      <c r="J11" s="45">
        <f ca="1"/>
        <v>-3.5</v>
      </c>
      <c r="K11" s="43">
        <f ca="1">_xll.QUtils_ErrorReplace(IF($B11="S 0303",0,_xll.BDP("LM"&amp;K$5&amp;"D"&amp;$B11&amp;" Comdty","PX_SETTLE")),0)</f>
        <v>8</v>
      </c>
      <c r="L11" s="44"/>
      <c r="M11" s="45">
        <f ca="1"/>
        <v>8</v>
      </c>
      <c r="N11" s="43">
        <f ca="1">_xll.QUtils_ErrorReplace(IF($B11="S 0303",0,_xll.BDP("LM"&amp;N$5&amp;"D"&amp;$B11&amp;" Comdty","PX_SETTLE")),0)</f>
        <v>-24</v>
      </c>
      <c r="O11" s="6"/>
      <c r="P11" s="7">
        <f ca="1"/>
        <v>-24</v>
      </c>
      <c r="Q11" s="33">
        <f t="shared" ca="1" si="0"/>
        <v>1881.5</v>
      </c>
      <c r="R11" s="34">
        <f t="shared" ca="1" si="1"/>
        <v>6043</v>
      </c>
      <c r="S11" s="6">
        <f t="shared" ca="1" si="2"/>
        <v>2572</v>
      </c>
      <c r="T11" s="7">
        <f t="shared" ca="1" si="3"/>
        <v>11744</v>
      </c>
      <c r="W11" s="1">
        <f ca="1">_xll.QDates_SpecificWeekday(EDATE(W10,1),"Wednesday",1)</f>
        <v>43649</v>
      </c>
      <c r="X11" t="str">
        <f t="shared" ca="1" si="5"/>
        <v>JUL19</v>
      </c>
      <c r="Y11" s="19">
        <f ca="1">_xll.BDP(Y$1&amp;" "&amp;$X11&amp;" 10DP VOL LME Comdty","PX_LAST")/100</f>
        <v>0.19259654998779296</v>
      </c>
      <c r="Z11" s="20">
        <f ca="1">_xll.BDP(Y$1&amp;" "&amp;$X11&amp;" 25DP VOL LME Comdty","PX_LAST")/100</f>
        <v>0.18609834671020509</v>
      </c>
      <c r="AA11" s="25">
        <f ca="1">_xll.BDP(Y$1&amp;" "&amp;$X11&amp;" 50D VOL LME Comdty","PX_LAST")/100</f>
        <v>0.18479980468750001</v>
      </c>
      <c r="AB11" s="20">
        <f ca="1">_xll.BDP(Y$1&amp;" "&amp;$X11&amp;" 25DC VOL LME Comdty","PX_LAST")/100</f>
        <v>0.19299427032470703</v>
      </c>
      <c r="AC11" s="21">
        <f ca="1">_xll.BDP(Y$1&amp;" "&amp;$X11&amp;" 10DC VOL LME Comdty","PX_LAST")/100</f>
        <v>0.20459341049194335</v>
      </c>
      <c r="AD11" s="28">
        <f ca="1">_xll.BDP(AD$1&amp;" "&amp;$X11&amp;" 10DP VOL LME Comdty","PX_LAST")/100</f>
        <v>0.21379415512084962</v>
      </c>
      <c r="AE11" s="29">
        <f ca="1">_xll.BDP(AD$1&amp;" "&amp;$X11&amp;" 25DP VOL LME Comdty","PX_LAST")/100</f>
        <v>0.20079530715942384</v>
      </c>
      <c r="AF11" s="30">
        <f ca="1">_xll.BDP(AD$1&amp;" "&amp;$X11&amp;" 50D VOL LME Comdty","PX_LAST")/100</f>
        <v>0.18850023269653321</v>
      </c>
      <c r="AG11" s="29">
        <f ca="1">_xll.BDP(AD$1&amp;" "&amp;$X11&amp;" 25DC VOL LME Comdty","PX_LAST")/100</f>
        <v>0.19259696960449219</v>
      </c>
      <c r="AH11" s="31">
        <f ca="1">_xll.BDP(AD$1&amp;" "&amp;$X11&amp;" 10DC VOL LME Comdty","PX_LAST")/100</f>
        <v>0.19809686660766601</v>
      </c>
      <c r="AI11" s="11">
        <f ca="1">_xll.BDP(AI$5&amp;" "&amp;$X11&amp;" 50D VOL LME Comdty","PX_LAST")/100</f>
        <v>0.24230030059814453</v>
      </c>
      <c r="AJ11" s="11">
        <f ca="1">_xll.BDP(AJ$5&amp;" "&amp;$X11&amp;" 50D VOL LME Comdty","PX_LAST")/100</f>
        <v>0.28449928283691406</v>
      </c>
      <c r="AM11" s="13" t="s">
        <v>3</v>
      </c>
      <c r="AN11" s="13" t="s">
        <v>5</v>
      </c>
      <c r="AO11" s="13" t="s">
        <v>6</v>
      </c>
      <c r="AP11" s="13" t="s">
        <v>7</v>
      </c>
      <c r="AQ11" s="55" t="s">
        <v>89</v>
      </c>
      <c r="AR11" s="1"/>
      <c r="AS11" s="1">
        <f ca="1"/>
        <v>43481</v>
      </c>
      <c r="AT11" s="84">
        <f ca="1"/>
        <v>1839.5</v>
      </c>
      <c r="AU11" s="84">
        <f ca="1">_xll.QCurves_DisplayFixingDictionary(AM$6,$AS11)</f>
        <v>5911</v>
      </c>
      <c r="AV11" s="84">
        <f ca="1">_xll.QCurves_DisplayFixingDictionary(AN$6,$AS11)</f>
        <v>2490</v>
      </c>
      <c r="AW11" s="84">
        <f ca="1">_xll.QCurves_DisplayFixingDictionary(AO$6,$AS11)</f>
        <v>11580</v>
      </c>
      <c r="AX11" s="84">
        <f ca="1">_xll.QCurves_DisplayFixingDictionary(AP$6,$AS11)</f>
        <v>13.723699999999999</v>
      </c>
      <c r="AY11" s="84">
        <f ca="1">_xll.QCurves_DisplayFixingDictionary(AQ$6,$AS11)</f>
        <v>1290.5</v>
      </c>
    </row>
    <row r="12" spans="1:56" x14ac:dyDescent="0.25">
      <c r="A12" t="str">
        <f ca="1">IF(D12=m3Date,"03",_xll.QDates_GetMonthCodeAndYear(D12,2))</f>
        <v>M19</v>
      </c>
      <c r="B12" t="str">
        <f t="shared" ca="1" si="4"/>
        <v>S 03M19</v>
      </c>
      <c r="D12" s="1">
        <f ca="1">_xll.QDates_NextLMECurveDate(D11,m3Date,FALSE)</f>
        <v>43635</v>
      </c>
      <c r="E12" s="43">
        <f ca="1">_xll.QUtils_ErrorReplace(IF($B12="S 0303",0,_xll.BDP("LM"&amp;E$5&amp;"D"&amp;$B12&amp;" Comdty","PX_SETTLE")),0)</f>
        <v>-20.5</v>
      </c>
      <c r="F12" s="44"/>
      <c r="G12" s="45">
        <f ca="1"/>
        <v>-20.5</v>
      </c>
      <c r="H12" s="43">
        <f ca="1">_xll.QUtils_ErrorReplace(IF($B12="S 0303",0,_xll.BDP("LM"&amp;H$5&amp;"D"&amp;$B12&amp;" Comdty","PX_SETTLE")),0)</f>
        <v>-9</v>
      </c>
      <c r="I12" s="44"/>
      <c r="J12" s="45">
        <f ca="1"/>
        <v>-9</v>
      </c>
      <c r="K12" s="43">
        <f ca="1">_xll.QUtils_ErrorReplace(IF($B12="S 0303",0,_xll.BDP("LM"&amp;K$5&amp;"D"&amp;$B12&amp;" Comdty","PX_SETTLE")),0)</f>
        <v>17.5</v>
      </c>
      <c r="L12" s="44"/>
      <c r="M12" s="45">
        <f ca="1"/>
        <v>17.5</v>
      </c>
      <c r="N12" s="43">
        <f ca="1">_xll.QUtils_ErrorReplace(IF($B12="S 0303",0,_xll.BDP("LM"&amp;N$5&amp;"D"&amp;$B12&amp;" Comdty","PX_SETTLE")),0)</f>
        <v>-54</v>
      </c>
      <c r="O12" s="6"/>
      <c r="P12" s="7">
        <f ca="1"/>
        <v>-54</v>
      </c>
      <c r="Q12" s="33">
        <f t="shared" ca="1" si="0"/>
        <v>1893.5</v>
      </c>
      <c r="R12" s="34">
        <f t="shared" ca="1" si="1"/>
        <v>6048.5</v>
      </c>
      <c r="S12" s="6">
        <f t="shared" ca="1" si="2"/>
        <v>2562.5</v>
      </c>
      <c r="T12" s="7">
        <f t="shared" ca="1" si="3"/>
        <v>11774</v>
      </c>
      <c r="W12" s="1">
        <f ca="1">_xll.QDates_SpecificWeekday(EDATE(W11,1),"Wednesday",1)</f>
        <v>43684</v>
      </c>
      <c r="X12" t="str">
        <f t="shared" ca="1" si="5"/>
        <v>AUG19</v>
      </c>
      <c r="Y12" s="19">
        <f ca="1">_xll.BDP(Y$1&amp;" "&amp;$X12&amp;" 10DP VOL LME Comdty","PX_LAST")/100</f>
        <v>0.19219635009765626</v>
      </c>
      <c r="Z12" s="20">
        <f ca="1">_xll.BDP(Y$1&amp;" "&amp;$X12&amp;" 25DP VOL LME Comdty","PX_LAST")/100</f>
        <v>0.1856983184814453</v>
      </c>
      <c r="AA12" s="25">
        <f ca="1">_xll.BDP(Y$1&amp;" "&amp;$X12&amp;" 50D VOL LME Comdty","PX_LAST")/100</f>
        <v>0.18429977416992188</v>
      </c>
      <c r="AB12" s="20">
        <f ca="1">_xll.BDP(Y$1&amp;" "&amp;$X12&amp;" 25DC VOL LME Comdty","PX_LAST")/100</f>
        <v>0.19299394607543946</v>
      </c>
      <c r="AC12" s="21">
        <f ca="1">_xll.BDP(Y$1&amp;" "&amp;$X12&amp;" 10DC VOL LME Comdty","PX_LAST")/100</f>
        <v>0.20559335708618165</v>
      </c>
      <c r="AD12" s="28">
        <f ca="1">_xll.BDP(AD$1&amp;" "&amp;$X12&amp;" 10DP VOL LME Comdty","PX_LAST")/100</f>
        <v>0.21739393234252929</v>
      </c>
      <c r="AE12" s="29">
        <f ca="1">_xll.BDP(AD$1&amp;" "&amp;$X12&amp;" 25DP VOL LME Comdty","PX_LAST")/100</f>
        <v>0.20409517288208007</v>
      </c>
      <c r="AF12" s="30">
        <f ca="1">_xll.BDP(AD$1&amp;" "&amp;$X12&amp;" 50D VOL LME Comdty","PX_LAST")/100</f>
        <v>0.19080026626586913</v>
      </c>
      <c r="AG12" s="29">
        <f ca="1">_xll.BDP(AD$1&amp;" "&amp;$X12&amp;" 25DC VOL LME Comdty","PX_LAST")/100</f>
        <v>0.19519704818725586</v>
      </c>
      <c r="AH12" s="31">
        <f ca="1">_xll.BDP(AD$1&amp;" "&amp;$X12&amp;" 10DC VOL LME Comdty","PX_LAST")/100</f>
        <v>0.19999708175659181</v>
      </c>
      <c r="AI12" s="11">
        <f ca="1">_xll.BDP(AI$5&amp;" "&amp;$X12&amp;" 50D VOL LME Comdty","PX_LAST")/100</f>
        <v>0.24170042037963868</v>
      </c>
      <c r="AJ12" s="11">
        <f ca="1">_xll.BDP(AJ$5&amp;" "&amp;$X12&amp;" 50D VOL LME Comdty","PX_LAST")/100</f>
        <v>0.28809913635253909</v>
      </c>
      <c r="AL12" t="s">
        <v>82</v>
      </c>
      <c r="AM12" s="98">
        <v>-0.3</v>
      </c>
      <c r="AN12" s="98">
        <v>-0.3</v>
      </c>
      <c r="AO12" s="98">
        <v>-0.3</v>
      </c>
      <c r="AP12" s="98">
        <v>-0.3</v>
      </c>
      <c r="AQ12" s="11">
        <v>-0.3</v>
      </c>
      <c r="AR12" s="1"/>
      <c r="AS12" s="1">
        <f ca="1"/>
        <v>43480</v>
      </c>
      <c r="AT12" s="84">
        <f ca="1"/>
        <v>1810.5</v>
      </c>
      <c r="AU12" s="84">
        <f ca="1">_xll.QCurves_DisplayFixingDictionary(AM$6,$AS12)</f>
        <v>5882</v>
      </c>
      <c r="AV12" s="84">
        <f ca="1">_xll.QCurves_DisplayFixingDictionary(AN$6,$AS12)</f>
        <v>2472.5</v>
      </c>
      <c r="AW12" s="84">
        <f ca="1">_xll.QCurves_DisplayFixingDictionary(AO$6,$AS12)</f>
        <v>11430</v>
      </c>
      <c r="AX12" s="84">
        <f ca="1">_xll.QCurves_DisplayFixingDictionary(AP$6,$AS12)</f>
        <v>13.8278</v>
      </c>
      <c r="AY12" s="84">
        <f ca="1">_xll.QCurves_DisplayFixingDictionary(AQ$6,$AS12)</f>
        <v>1289.3499999999999</v>
      </c>
    </row>
    <row r="13" spans="1:56" x14ac:dyDescent="0.25">
      <c r="A13" t="str">
        <f ca="1">IF(D13=m3Date,"03",_xll.QDates_GetMonthCodeAndYear(D13,2))</f>
        <v>N19</v>
      </c>
      <c r="B13" t="str">
        <f t="shared" ca="1" si="4"/>
        <v>S 03N19</v>
      </c>
      <c r="D13" s="1">
        <f ca="1">_xll.QDates_NextLMECurveDate(D12,m3Date,FALSE)</f>
        <v>43663</v>
      </c>
      <c r="E13" s="43">
        <f ca="1">_xll.QUtils_ErrorReplace(IF($B13="S 0303",0,_xll.BDP("LM"&amp;E$5&amp;"D"&amp;$B13&amp;" Comdty","PX_SETTLE")),0)</f>
        <v>-29</v>
      </c>
      <c r="F13" s="44"/>
      <c r="G13" s="45">
        <f ca="1"/>
        <v>-29</v>
      </c>
      <c r="H13" s="43">
        <f ca="1">_xll.QUtils_ErrorReplace(IF($B13="S 0303",0,_xll.BDP("LM"&amp;H$5&amp;"D"&amp;$B13&amp;" Comdty","PX_SETTLE")),0)</f>
        <v>-13</v>
      </c>
      <c r="I13" s="44"/>
      <c r="J13" s="45">
        <f ca="1"/>
        <v>-13</v>
      </c>
      <c r="K13" s="43">
        <f ca="1">_xll.QUtils_ErrorReplace(IF($B13="S 0303",0,_xll.BDP("LM"&amp;K$5&amp;"D"&amp;$B13&amp;" Comdty","PX_SETTLE")),0)</f>
        <v>27.5</v>
      </c>
      <c r="L13" s="44"/>
      <c r="M13" s="45">
        <f ca="1"/>
        <v>27.5</v>
      </c>
      <c r="N13" s="43">
        <f ca="1">_xll.QUtils_ErrorReplace(IF($B13="S 0303",0,_xll.BDP("LM"&amp;N$5&amp;"D"&amp;$B13&amp;" Comdty","PX_SETTLE")),0)</f>
        <v>-77</v>
      </c>
      <c r="O13" s="6"/>
      <c r="P13" s="7">
        <f ca="1"/>
        <v>-77</v>
      </c>
      <c r="Q13" s="33">
        <f t="shared" ca="1" si="0"/>
        <v>1902</v>
      </c>
      <c r="R13" s="34">
        <f t="shared" ca="1" si="1"/>
        <v>6052.5</v>
      </c>
      <c r="S13" s="6">
        <f t="shared" ca="1" si="2"/>
        <v>2552.5</v>
      </c>
      <c r="T13" s="7">
        <f t="shared" ca="1" si="3"/>
        <v>11797</v>
      </c>
      <c r="W13" s="1">
        <f ca="1">_xll.QDates_SpecificWeekday(EDATE(W12,1),"Wednesday",1)</f>
        <v>43712</v>
      </c>
      <c r="X13" t="str">
        <f t="shared" ca="1" si="5"/>
        <v>SEP19</v>
      </c>
      <c r="Y13" s="19">
        <f ca="1">_xll.BDP(Y$1&amp;" "&amp;$X13&amp;" 10DP VOL LME Comdty","PX_LAST")/100</f>
        <v>0.19269624710083008</v>
      </c>
      <c r="Z13" s="20">
        <f ca="1">_xll.BDP(Y$1&amp;" "&amp;$X13&amp;" 25DP VOL LME Comdty","PX_LAST")/100</f>
        <v>0.18589826583862304</v>
      </c>
      <c r="AA13" s="25">
        <f ca="1">_xll.BDP(Y$1&amp;" "&amp;$X13&amp;" 50D VOL LME Comdty","PX_LAST")/100</f>
        <v>0.18429975509643554</v>
      </c>
      <c r="AB13" s="20">
        <f ca="1">_xll.BDP(Y$1&amp;" "&amp;$X13&amp;" 25DC VOL LME Comdty","PX_LAST")/100</f>
        <v>0.19319385528564453</v>
      </c>
      <c r="AC13" s="21">
        <f ca="1">_xll.BDP(Y$1&amp;" "&amp;$X13&amp;" 10DC VOL LME Comdty","PX_LAST")/100</f>
        <v>0.20549337387084962</v>
      </c>
      <c r="AD13" s="28">
        <f ca="1">_xll.BDP(AD$1&amp;" "&amp;$X13&amp;" 10DP VOL LME Comdty","PX_LAST")/100</f>
        <v>0.22029380798339843</v>
      </c>
      <c r="AE13" s="29">
        <f ca="1">_xll.BDP(AD$1&amp;" "&amp;$X13&amp;" 25DP VOL LME Comdty","PX_LAST")/100</f>
        <v>0.20599504470825195</v>
      </c>
      <c r="AF13" s="30">
        <f ca="1">_xll.BDP(AD$1&amp;" "&amp;$X13&amp;" 50D VOL LME Comdty","PX_LAST")/100</f>
        <v>0.19220027923583985</v>
      </c>
      <c r="AG13" s="29">
        <f ca="1">_xll.BDP(AD$1&amp;" "&amp;$X13&amp;" 25DC VOL LME Comdty","PX_LAST")/100</f>
        <v>0.1965970802307129</v>
      </c>
      <c r="AH13" s="31">
        <f ca="1">_xll.BDP(AD$1&amp;" "&amp;$X13&amp;" 10DC VOL LME Comdty","PX_LAST")/100</f>
        <v>0.20119720458984375</v>
      </c>
      <c r="AI13" s="11">
        <f ca="1">_xll.BDP(AI$5&amp;" "&amp;$X13&amp;" 50D VOL LME Comdty","PX_LAST")/100</f>
        <v>0.24170049667358398</v>
      </c>
      <c r="AJ13" s="11">
        <f ca="1">_xll.BDP(AJ$5&amp;" "&amp;$X13&amp;" 50D VOL LME Comdty","PX_LAST")/100</f>
        <v>0.29109907150268555</v>
      </c>
      <c r="AR13" s="1"/>
      <c r="AS13" s="1">
        <f ca="1"/>
        <v>43479</v>
      </c>
      <c r="AT13" s="84">
        <f ca="1"/>
        <v>1775.5</v>
      </c>
      <c r="AU13" s="84">
        <f ca="1">_xll.QCurves_DisplayFixingDictionary(AM$6,$AS13)</f>
        <v>5861</v>
      </c>
      <c r="AV13" s="84">
        <f ca="1">_xll.QCurves_DisplayFixingDictionary(AN$6,$AS13)</f>
        <v>2467.5</v>
      </c>
      <c r="AW13" s="84">
        <f ca="1">_xll.QCurves_DisplayFixingDictionary(AO$6,$AS13)</f>
        <v>11420</v>
      </c>
      <c r="AX13" s="84">
        <f ca="1">_xll.QCurves_DisplayFixingDictionary(AP$6,$AS13)</f>
        <v>13.8817</v>
      </c>
      <c r="AY13" s="84">
        <f ca="1">_xll.QCurves_DisplayFixingDictionary(AQ$6,$AS13)</f>
        <v>1293.7</v>
      </c>
    </row>
    <row r="14" spans="1:56" x14ac:dyDescent="0.25">
      <c r="A14" t="str">
        <f ca="1">IF(D14=m3Date,"03",_xll.QDates_GetMonthCodeAndYear(D14,2))</f>
        <v>Q19</v>
      </c>
      <c r="B14" t="str">
        <f t="shared" ca="1" si="4"/>
        <v>S 03Q19</v>
      </c>
      <c r="D14" s="1">
        <f ca="1">_xll.QDates_NextLMECurveDate(D13,m3Date,FALSE)</f>
        <v>43698</v>
      </c>
      <c r="E14" s="43">
        <f ca="1">_xll.QUtils_ErrorReplace(IF($B14="S 0303",0,_xll.BDP("LM"&amp;E$5&amp;"D"&amp;$B14&amp;" Comdty","PX_SETTLE")),0)</f>
        <v>-31</v>
      </c>
      <c r="F14" s="44"/>
      <c r="G14" s="45">
        <f ca="1"/>
        <v>-31</v>
      </c>
      <c r="H14" s="43">
        <f ca="1">_xll.QUtils_ErrorReplace(IF($B14="S 0303",0,_xll.BDP("LM"&amp;H$5&amp;"D"&amp;$B14&amp;" Comdty","PX_SETTLE")),0)</f>
        <v>-17</v>
      </c>
      <c r="I14" s="44"/>
      <c r="J14" s="45">
        <f ca="1"/>
        <v>-17</v>
      </c>
      <c r="K14" s="43">
        <f ca="1">_xll.QUtils_ErrorReplace(IF($B14="S 0303",0,_xll.BDP("LM"&amp;K$5&amp;"D"&amp;$B14&amp;" Comdty","PX_SETTLE")),0)</f>
        <v>37</v>
      </c>
      <c r="L14" s="44"/>
      <c r="M14" s="45">
        <f ca="1"/>
        <v>37</v>
      </c>
      <c r="N14" s="43">
        <f ca="1">_xll.QUtils_ErrorReplace(IF($B14="S 0303",0,_xll.BDP("LM"&amp;N$5&amp;"D"&amp;$B14&amp;" Comdty","PX_SETTLE")),0)</f>
        <v>-108</v>
      </c>
      <c r="O14" s="6"/>
      <c r="P14" s="7">
        <f ca="1"/>
        <v>-108</v>
      </c>
      <c r="Q14" s="33">
        <f t="shared" ca="1" si="0"/>
        <v>1904</v>
      </c>
      <c r="R14" s="34">
        <f t="shared" ca="1" si="1"/>
        <v>6056.5</v>
      </c>
      <c r="S14" s="6">
        <f t="shared" ca="1" si="2"/>
        <v>2543</v>
      </c>
      <c r="T14" s="7">
        <f t="shared" ca="1" si="3"/>
        <v>11828</v>
      </c>
      <c r="W14" s="1">
        <f ca="1">_xll.QDates_SpecificWeekday(EDATE(W13,1),"Wednesday",1)</f>
        <v>43740</v>
      </c>
      <c r="X14" t="str">
        <f t="shared" ca="1" si="5"/>
        <v>OCT19</v>
      </c>
      <c r="Y14" s="19">
        <f ca="1">_xll.BDP(Y$1&amp;" "&amp;$X14&amp;" 10DP VOL LME Comdty","PX_LAST")/100</f>
        <v>0.19289615631103516</v>
      </c>
      <c r="Z14" s="20">
        <f ca="1">_xll.BDP(Y$1&amp;" "&amp;$X14&amp;" 25DP VOL LME Comdty","PX_LAST")/100</f>
        <v>0.18559823989868163</v>
      </c>
      <c r="AA14" s="25">
        <f ca="1">_xll.BDP(Y$1&amp;" "&amp;$X14&amp;" 50D VOL LME Comdty","PX_LAST")/100</f>
        <v>0.18409975051879882</v>
      </c>
      <c r="AB14" s="20">
        <f ca="1">_xll.BDP(Y$1&amp;" "&amp;$X14&amp;" 25DC VOL LME Comdty","PX_LAST")/100</f>
        <v>0.19259393692016602</v>
      </c>
      <c r="AC14" s="21">
        <f ca="1">_xll.BDP(Y$1&amp;" "&amp;$X14&amp;" 10DC VOL LME Comdty","PX_LAST")/100</f>
        <v>0.20439344406127929</v>
      </c>
      <c r="AD14" s="28">
        <f ca="1">_xll.BDP(AD$1&amp;" "&amp;$X14&amp;" 10DP VOL LME Comdty","PX_LAST")/100</f>
        <v>0.22229377746582032</v>
      </c>
      <c r="AE14" s="29">
        <f ca="1">_xll.BDP(AD$1&amp;" "&amp;$X14&amp;" 25DP VOL LME Comdty","PX_LAST")/100</f>
        <v>0.20799507141113283</v>
      </c>
      <c r="AF14" s="30">
        <f ca="1">_xll.BDP(AD$1&amp;" "&amp;$X14&amp;" 50D VOL LME Comdty","PX_LAST")/100</f>
        <v>0.19360034942626952</v>
      </c>
      <c r="AG14" s="29">
        <f ca="1">_xll.BDP(AD$1&amp;" "&amp;$X14&amp;" 25DC VOL LME Comdty","PX_LAST")/100</f>
        <v>0.19779714584350586</v>
      </c>
      <c r="AH14" s="31">
        <f ca="1">_xll.BDP(AD$1&amp;" "&amp;$X14&amp;" 10DC VOL LME Comdty","PX_LAST")/100</f>
        <v>0.20199731826782227</v>
      </c>
      <c r="AI14" s="11">
        <f ca="1">_xll.BDP(AI$5&amp;" "&amp;$X14&amp;" 50D VOL LME Comdty","PX_LAST")/100</f>
        <v>0.24110057830810547</v>
      </c>
      <c r="AJ14" s="11">
        <f ca="1">_xll.BDP(AJ$5&amp;" "&amp;$X14&amp;" 50D VOL LME Comdty","PX_LAST")/100</f>
        <v>0.29289901733398438</v>
      </c>
      <c r="AL14" s="2" t="s">
        <v>51</v>
      </c>
      <c r="AM14" t="str">
        <f>_xll.QCurves_CreateCorrelationMatrix(AL14,AL12,AM11:AQ11,AM12:AQ12)</f>
        <v>CorrelMatrix¬0</v>
      </c>
      <c r="AR14" s="1"/>
      <c r="AS14" s="1">
        <f ca="1"/>
        <v>43476</v>
      </c>
      <c r="AT14" s="84">
        <f ca="1"/>
        <v>1816</v>
      </c>
      <c r="AU14" s="84">
        <f ca="1">_xll.QCurves_DisplayFixingDictionary(AM$6,$AS14)</f>
        <v>5926.5</v>
      </c>
      <c r="AV14" s="84">
        <f ca="1">_xll.QCurves_DisplayFixingDictionary(AN$6,$AS14)</f>
        <v>2470</v>
      </c>
      <c r="AW14" s="84">
        <f ca="1">_xll.QCurves_DisplayFixingDictionary(AO$6,$AS14)</f>
        <v>11400</v>
      </c>
      <c r="AX14" s="84">
        <f ca="1">_xll.QCurves_DisplayFixingDictionary(AP$6,$AS14)</f>
        <v>13.8369</v>
      </c>
      <c r="AY14" s="84">
        <f ca="1">_xll.QCurves_DisplayFixingDictionary(AQ$6,$AS14)</f>
        <v>1292.8</v>
      </c>
    </row>
    <row r="15" spans="1:56" x14ac:dyDescent="0.25">
      <c r="A15" t="str">
        <f ca="1">IF(D15=m3Date,"03",_xll.QDates_GetMonthCodeAndYear(D15,2))</f>
        <v>U19</v>
      </c>
      <c r="B15" t="str">
        <f t="shared" ca="1" si="4"/>
        <v>S 03U19</v>
      </c>
      <c r="D15" s="1">
        <f ca="1">_xll.QDates_NextLMECurveDate(D14,m3Date,FALSE)</f>
        <v>43726</v>
      </c>
      <c r="E15" s="43">
        <f ca="1">_xll.QUtils_ErrorReplace(IF($B15="S 0303",0,_xll.BDP("LM"&amp;E$5&amp;"D"&amp;$B15&amp;" Comdty","PX_SETTLE")),0)</f>
        <v>-39.5</v>
      </c>
      <c r="F15" s="44"/>
      <c r="G15" s="45">
        <f ca="1"/>
        <v>-39.5</v>
      </c>
      <c r="H15" s="43">
        <f ca="1">_xll.QUtils_ErrorReplace(IF($B15="S 0303",0,_xll.BDP("LM"&amp;H$5&amp;"D"&amp;$B15&amp;" Comdty","PX_SETTLE")),0)</f>
        <v>-20.5</v>
      </c>
      <c r="I15" s="44"/>
      <c r="J15" s="45">
        <f ca="1"/>
        <v>-20.5</v>
      </c>
      <c r="K15" s="43">
        <f ca="1">_xll.QUtils_ErrorReplace(IF($B15="S 0303",0,_xll.BDP("LM"&amp;K$5&amp;"D"&amp;$B15&amp;" Comdty","PX_SETTLE")),0)</f>
        <v>46.5</v>
      </c>
      <c r="L15" s="44"/>
      <c r="M15" s="45">
        <f ca="1"/>
        <v>46.5</v>
      </c>
      <c r="N15" s="43">
        <f ca="1">_xll.QUtils_ErrorReplace(IF($B15="S 0303",0,_xll.BDP("LM"&amp;N$5&amp;"D"&amp;$B15&amp;" Comdty","PX_SETTLE")),0)</f>
        <v>-134</v>
      </c>
      <c r="O15" s="6"/>
      <c r="P15" s="7">
        <f ca="1"/>
        <v>-134</v>
      </c>
      <c r="Q15" s="33">
        <f t="shared" ca="1" si="0"/>
        <v>1912.5</v>
      </c>
      <c r="R15" s="34">
        <f t="shared" ca="1" si="1"/>
        <v>6060</v>
      </c>
      <c r="S15" s="6">
        <f t="shared" ca="1" si="2"/>
        <v>2533.5</v>
      </c>
      <c r="T15" s="7">
        <f t="shared" ca="1" si="3"/>
        <v>11854</v>
      </c>
      <c r="W15" s="1">
        <f ca="1">_xll.QDates_SpecificWeekday(EDATE(W14,1),"Wednesday",1)</f>
        <v>43775</v>
      </c>
      <c r="X15" t="str">
        <f t="shared" ca="1" si="5"/>
        <v>NOV19</v>
      </c>
      <c r="Y15" s="19">
        <f ca="1">_xll.BDP(Y$1&amp;" "&amp;$X15&amp;" 10DP VOL LME Comdty","PX_LAST")/100</f>
        <v>0.19299602508544922</v>
      </c>
      <c r="Z15" s="20">
        <f ca="1">_xll.BDP(Y$1&amp;" "&amp;$X15&amp;" 25DP VOL LME Comdty","PX_LAST")/100</f>
        <v>0.18529821395874024</v>
      </c>
      <c r="AA15" s="25">
        <f ca="1">_xll.BDP(Y$1&amp;" "&amp;$X15&amp;" 50D VOL LME Comdty","PX_LAST")/100</f>
        <v>0.18389970779418946</v>
      </c>
      <c r="AB15" s="20">
        <f ca="1">_xll.BDP(Y$1&amp;" "&amp;$X15&amp;" 25DC VOL LME Comdty","PX_LAST")/100</f>
        <v>0.19239395141601562</v>
      </c>
      <c r="AC15" s="21">
        <f ca="1">_xll.BDP(Y$1&amp;" "&amp;$X15&amp;" 10DC VOL LME Comdty","PX_LAST")/100</f>
        <v>0.20389358520507814</v>
      </c>
      <c r="AD15" s="28">
        <f ca="1">_xll.BDP(AD$1&amp;" "&amp;$X15&amp;" 10DP VOL LME Comdty","PX_LAST")/100</f>
        <v>0.22419376373291017</v>
      </c>
      <c r="AE15" s="29">
        <f ca="1">_xll.BDP(AD$1&amp;" "&amp;$X15&amp;" 25DP VOL LME Comdty","PX_LAST")/100</f>
        <v>0.20989507675170899</v>
      </c>
      <c r="AF15" s="30">
        <f ca="1">_xll.BDP(AD$1&amp;" "&amp;$X15&amp;" 50D VOL LME Comdty","PX_LAST")/100</f>
        <v>0.19510038375854491</v>
      </c>
      <c r="AG15" s="29">
        <f ca="1">_xll.BDP(AD$1&amp;" "&amp;$X15&amp;" 25DC VOL LME Comdty","PX_LAST")/100</f>
        <v>0.19899717330932618</v>
      </c>
      <c r="AH15" s="31">
        <f ca="1">_xll.BDP(AD$1&amp;" "&amp;$X15&amp;" 10DC VOL LME Comdty","PX_LAST")/100</f>
        <v>0.20339736938476563</v>
      </c>
      <c r="AI15" s="11">
        <f ca="1">_xll.BDP(AI$5&amp;" "&amp;$X15&amp;" 50D VOL LME Comdty","PX_LAST")/100</f>
        <v>0.24090065002441408</v>
      </c>
      <c r="AJ15" s="11">
        <f ca="1">_xll.BDP(AJ$5&amp;" "&amp;$X15&amp;" 50D VOL LME Comdty","PX_LAST")/100</f>
        <v>0.29509893417358396</v>
      </c>
      <c r="AL15" s="1"/>
      <c r="AR15" s="1"/>
      <c r="AS15" s="1">
        <f ca="1"/>
        <v>43475</v>
      </c>
      <c r="AT15" s="84">
        <f ca="1"/>
        <v>1844</v>
      </c>
      <c r="AU15" s="84">
        <f ca="1">_xll.QCurves_DisplayFixingDictionary(AM$6,$AS15)</f>
        <v>5908.5</v>
      </c>
      <c r="AV15" s="84">
        <f ca="1">_xll.QCurves_DisplayFixingDictionary(AN$6,$AS15)</f>
        <v>2476</v>
      </c>
      <c r="AW15" s="84">
        <f ca="1">_xll.QCurves_DisplayFixingDictionary(AO$6,$AS15)</f>
        <v>11225</v>
      </c>
      <c r="AX15" s="84">
        <f ca="1">_xll.QCurves_DisplayFixingDictionary(AP$6,$AS15)</f>
        <v>13.8712</v>
      </c>
      <c r="AY15" s="84">
        <f ca="1">_xll.QCurves_DisplayFixingDictionary(AQ$6,$AS15)</f>
        <v>1292.4000000000001</v>
      </c>
    </row>
    <row r="16" spans="1:56" x14ac:dyDescent="0.25">
      <c r="A16" t="str">
        <f ca="1">IF(D16=m3Date,"03",_xll.QDates_GetMonthCodeAndYear(D16,2))</f>
        <v>V19</v>
      </c>
      <c r="B16" t="str">
        <f t="shared" ca="1" si="4"/>
        <v>S 03V19</v>
      </c>
      <c r="D16" s="1">
        <f ca="1">_xll.QDates_NextLMECurveDate(D15,m3Date,FALSE)</f>
        <v>43754</v>
      </c>
      <c r="E16" s="43">
        <f ca="1">_xll.QUtils_ErrorReplace(IF($B16="S 0303",0,_xll.BDP("LM"&amp;E$5&amp;"D"&amp;$B16&amp;" Comdty","PX_SETTLE")),0)</f>
        <v>-45.5</v>
      </c>
      <c r="F16" s="44"/>
      <c r="G16" s="45">
        <f ca="1"/>
        <v>-45.5</v>
      </c>
      <c r="H16" s="43">
        <f ca="1">_xll.QUtils_ErrorReplace(IF($B16="S 0303",0,_xll.BDP("LM"&amp;H$5&amp;"D"&amp;$B16&amp;" Comdty","PX_SETTLE")),0)</f>
        <v>-23.5</v>
      </c>
      <c r="I16" s="44"/>
      <c r="J16" s="45">
        <f ca="1"/>
        <v>-23.5</v>
      </c>
      <c r="K16" s="43">
        <f ca="1">_xll.QUtils_ErrorReplace(IF($B16="S 0303",0,_xll.BDP("LM"&amp;K$5&amp;"D"&amp;$B16&amp;" Comdty","PX_SETTLE")),0)</f>
        <v>56.5</v>
      </c>
      <c r="L16" s="44"/>
      <c r="M16" s="45">
        <f ca="1"/>
        <v>56.5</v>
      </c>
      <c r="N16" s="43">
        <f ca="1">_xll.QUtils_ErrorReplace(IF($B16="S 0303",0,_xll.BDP("LM"&amp;N$5&amp;"D"&amp;$B16&amp;" Comdty","PX_SETTLE")),0)</f>
        <v>-159</v>
      </c>
      <c r="O16" s="6"/>
      <c r="P16" s="7">
        <f ca="1"/>
        <v>-159</v>
      </c>
      <c r="Q16" s="33">
        <f t="shared" ca="1" si="0"/>
        <v>1918.5</v>
      </c>
      <c r="R16" s="34">
        <f t="shared" ca="1" si="1"/>
        <v>6063</v>
      </c>
      <c r="S16" s="6">
        <f t="shared" ca="1" si="2"/>
        <v>2523.5</v>
      </c>
      <c r="T16" s="7">
        <f t="shared" ca="1" si="3"/>
        <v>11879</v>
      </c>
      <c r="W16" s="1">
        <f ca="1">_xll.QDates_SpecificWeekday(EDATE(W15,1),"Wednesday",1)</f>
        <v>43803</v>
      </c>
      <c r="X16" t="str">
        <f t="shared" ca="1" si="5"/>
        <v>DEC19</v>
      </c>
      <c r="Y16" s="19">
        <f ca="1">_xll.BDP(Y$1&amp;" "&amp;$X16&amp;" 10DP VOL LME Comdty","PX_LAST")/100</f>
        <v>0.19309595108032226</v>
      </c>
      <c r="Z16" s="20">
        <f ca="1">_xll.BDP(Y$1&amp;" "&amp;$X16&amp;" 25DP VOL LME Comdty","PX_LAST")/100</f>
        <v>0.18519821166992187</v>
      </c>
      <c r="AA16" s="25">
        <f ca="1">_xll.BDP(Y$1&amp;" "&amp;$X16&amp;" 50D VOL LME Comdty","PX_LAST")/100</f>
        <v>0.1838996696472168</v>
      </c>
      <c r="AB16" s="20">
        <f ca="1">_xll.BDP(Y$1&amp;" "&amp;$X16&amp;" 25DC VOL LME Comdty","PX_LAST")/100</f>
        <v>0.19259387969970704</v>
      </c>
      <c r="AC16" s="21">
        <f ca="1">_xll.BDP(Y$1&amp;" "&amp;$X16&amp;" 10DC VOL LME Comdty","PX_LAST")/100</f>
        <v>0.20379360198974608</v>
      </c>
      <c r="AD16" s="28">
        <f ca="1">_xll.BDP(AD$1&amp;" "&amp;$X16&amp;" 10DP VOL LME Comdty","PX_LAST")/100</f>
        <v>0.22649375915527345</v>
      </c>
      <c r="AE16" s="29">
        <f ca="1">_xll.BDP(AD$1&amp;" "&amp;$X16&amp;" 25DP VOL LME Comdty","PX_LAST")/100</f>
        <v>0.21169506072998046</v>
      </c>
      <c r="AF16" s="30">
        <f ca="1">_xll.BDP(AD$1&amp;" "&amp;$X16&amp;" 50D VOL LME Comdty","PX_LAST")/100</f>
        <v>0.19640043258666992</v>
      </c>
      <c r="AG16" s="29">
        <f ca="1">_xll.BDP(AD$1&amp;" "&amp;$X16&amp;" 25DC VOL LME Comdty","PX_LAST")/100</f>
        <v>0.20019716262817383</v>
      </c>
      <c r="AH16" s="31">
        <f ca="1">_xll.BDP(AD$1&amp;" "&amp;$X16&amp;" 10DC VOL LME Comdty","PX_LAST")/100</f>
        <v>0.20449735641479491</v>
      </c>
      <c r="AI16" s="11">
        <f ca="1">_xll.BDP(AI$5&amp;" "&amp;$X16&amp;" 50D VOL LME Comdty","PX_LAST")/100</f>
        <v>0.24090070724487306</v>
      </c>
      <c r="AJ16" s="11">
        <f ca="1">_xll.BDP(AJ$5&amp;" "&amp;$X16&amp;" 50D VOL LME Comdty","PX_LAST")/100</f>
        <v>0.29729887008666994</v>
      </c>
      <c r="AL16" s="1"/>
      <c r="AR16" s="1"/>
      <c r="AS16" s="1">
        <f ca="1"/>
        <v>43474</v>
      </c>
      <c r="AT16" s="84">
        <f ca="1"/>
        <v>1842</v>
      </c>
      <c r="AU16" s="84">
        <f ca="1">_xll.QCurves_DisplayFixingDictionary(AM$6,$AS16)</f>
        <v>5964</v>
      </c>
      <c r="AV16" s="84">
        <f ca="1">_xll.QCurves_DisplayFixingDictionary(AN$6,$AS16)</f>
        <v>2532</v>
      </c>
      <c r="AW16" s="84">
        <f ca="1">_xll.QCurves_DisplayFixingDictionary(AO$6,$AS16)</f>
        <v>11205</v>
      </c>
      <c r="AX16" s="84">
        <f ca="1">_xll.QCurves_DisplayFixingDictionary(AP$6,$AS16)</f>
        <v>13.9815</v>
      </c>
      <c r="AY16" s="84">
        <f ca="1">_xll.QCurves_DisplayFixingDictionary(AQ$6,$AS16)</f>
        <v>1281.3</v>
      </c>
    </row>
    <row r="17" spans="1:51" x14ac:dyDescent="0.25">
      <c r="A17" t="str">
        <f ca="1">IF(D17=m3Date,"03",_xll.QDates_GetMonthCodeAndYear(D17,2))</f>
        <v>X19</v>
      </c>
      <c r="B17" t="str">
        <f t="shared" ca="1" si="4"/>
        <v>S 03X19</v>
      </c>
      <c r="D17" s="1">
        <f ca="1">_xll.QDates_NextLMECurveDate(D16,m3Date,FALSE)</f>
        <v>43789</v>
      </c>
      <c r="E17" s="43">
        <f ca="1">_xll.QUtils_ErrorReplace(IF($B17="S 0303",0,_xll.BDP("LM"&amp;E$5&amp;"D"&amp;$B17&amp;" Comdty","PX_SETTLE")),0)</f>
        <v>-53.5</v>
      </c>
      <c r="F17" s="44"/>
      <c r="G17" s="45">
        <f ca="1"/>
        <v>-53.5</v>
      </c>
      <c r="H17" s="43">
        <f ca="1">_xll.QUtils_ErrorReplace(IF($B17="S 0303",0,_xll.BDP("LM"&amp;H$5&amp;"D"&amp;$B17&amp;" Comdty","PX_SETTLE")),0)</f>
        <v>-27</v>
      </c>
      <c r="I17" s="44"/>
      <c r="J17" s="45">
        <f ca="1"/>
        <v>-27</v>
      </c>
      <c r="K17" s="43">
        <f ca="1">_xll.QUtils_ErrorReplace(IF($B17="S 0303",0,_xll.BDP("LM"&amp;K$5&amp;"D"&amp;$B17&amp;" Comdty","PX_SETTLE")),0)</f>
        <v>66.5</v>
      </c>
      <c r="L17" s="44"/>
      <c r="M17" s="45">
        <f ca="1"/>
        <v>66.5</v>
      </c>
      <c r="N17" s="43">
        <f ca="1">_xll.QUtils_ErrorReplace(IF($B17="S 0303",0,_xll.BDP("LM"&amp;N$5&amp;"D"&amp;$B17&amp;" Comdty","PX_SETTLE")),0)</f>
        <v>-190</v>
      </c>
      <c r="O17" s="6"/>
      <c r="P17" s="7">
        <f ca="1"/>
        <v>-190</v>
      </c>
      <c r="Q17" s="33">
        <f t="shared" ca="1" si="0"/>
        <v>1926.5</v>
      </c>
      <c r="R17" s="34">
        <f t="shared" ca="1" si="1"/>
        <v>6066.5</v>
      </c>
      <c r="S17" s="6">
        <f t="shared" ca="1" si="2"/>
        <v>2513.5</v>
      </c>
      <c r="T17" s="7">
        <f t="shared" ca="1" si="3"/>
        <v>11910</v>
      </c>
      <c r="W17" s="1">
        <f ca="1">_xll.QDates_SpecificWeekday(EDATE(W16,1),"Wednesday",1)</f>
        <v>43831</v>
      </c>
      <c r="X17" t="str">
        <f t="shared" ca="1" si="5"/>
        <v>JAN20</v>
      </c>
      <c r="Y17" s="19">
        <f ca="1">_xll.BDP(Y$1&amp;" "&amp;$X17&amp;" 10DP VOL LME Comdty","PX_LAST")/100</f>
        <v>0.19339588165283203</v>
      </c>
      <c r="Z17" s="20">
        <f ca="1">_xll.BDP(Y$1&amp;" "&amp;$X17&amp;" 25DP VOL LME Comdty","PX_LAST")/100</f>
        <v>0.18569818496704102</v>
      </c>
      <c r="AA17" s="25">
        <f ca="1">_xll.BDP(Y$1&amp;" "&amp;$X17&amp;" 50D VOL LME Comdty","PX_LAST")/100</f>
        <v>0.18389965057373048</v>
      </c>
      <c r="AB17" s="20">
        <f ca="1">_xll.BDP(Y$1&amp;" "&amp;$X17&amp;" 25DC VOL LME Comdty","PX_LAST")/100</f>
        <v>0.19339366912841796</v>
      </c>
      <c r="AC17" s="21">
        <f ca="1">_xll.BDP(Y$1&amp;" "&amp;$X17&amp;" 10DC VOL LME Comdty","PX_LAST")/100</f>
        <v>0.20509368896484376</v>
      </c>
      <c r="AD17" s="28">
        <f ca="1">_xll.BDP(AD$1&amp;" "&amp;$X17&amp;" 10DP VOL LME Comdty","PX_LAST")/100</f>
        <v>0.22689378738403321</v>
      </c>
      <c r="AE17" s="29">
        <f ca="1">_xll.BDP(AD$1&amp;" "&amp;$X17&amp;" 25DP VOL LME Comdty","PX_LAST")/100</f>
        <v>0.21199510574340821</v>
      </c>
      <c r="AF17" s="30">
        <f ca="1">_xll.BDP(AD$1&amp;" "&amp;$X17&amp;" 50D VOL LME Comdty","PX_LAST")/100</f>
        <v>0.19650047302246093</v>
      </c>
      <c r="AG17" s="29">
        <f ca="1">_xll.BDP(AD$1&amp;" "&amp;$X17&amp;" 25DC VOL LME Comdty","PX_LAST")/100</f>
        <v>0.20019716262817383</v>
      </c>
      <c r="AH17" s="31">
        <f ca="1">_xll.BDP(AD$1&amp;" "&amp;$X17&amp;" 10DC VOL LME Comdty","PX_LAST")/100</f>
        <v>0.20439737319946288</v>
      </c>
      <c r="AI17" s="11">
        <f ca="1">_xll.BDP(AI$5&amp;" "&amp;$X17&amp;" 50D VOL LME Comdty","PX_LAST")/100</f>
        <v>0.24070074081420897</v>
      </c>
      <c r="AJ17" s="11">
        <f ca="1">_xll.BDP(AJ$5&amp;" "&amp;$X17&amp;" 50D VOL LME Comdty","PX_LAST")/100</f>
        <v>0.29789884567260744</v>
      </c>
      <c r="AL17" s="1"/>
      <c r="AR17" s="1"/>
      <c r="AS17" s="1">
        <f ca="1"/>
        <v>43473</v>
      </c>
      <c r="AT17" s="84">
        <f ca="1"/>
        <v>1837</v>
      </c>
      <c r="AU17" s="84">
        <f ca="1">_xll.QCurves_DisplayFixingDictionary(AM$6,$AS17)</f>
        <v>5904.5</v>
      </c>
      <c r="AV17" s="84">
        <f ca="1">_xll.QCurves_DisplayFixingDictionary(AN$6,$AS17)</f>
        <v>2541</v>
      </c>
      <c r="AW17" s="84">
        <f ca="1">_xll.QCurves_DisplayFixingDictionary(AO$6,$AS17)</f>
        <v>11055</v>
      </c>
      <c r="AX17" s="84">
        <f ca="1">_xll.QCurves_DisplayFixingDictionary(AP$6,$AS17)</f>
        <v>14.0152</v>
      </c>
      <c r="AY17" s="84">
        <f ca="1">_xll.QCurves_DisplayFixingDictionary(AQ$6,$AS17)</f>
        <v>1283.9000000000001</v>
      </c>
    </row>
    <row r="18" spans="1:51" x14ac:dyDescent="0.25">
      <c r="A18" t="str">
        <f ca="1">IF(D18=m3Date,"03",_xll.QDates_GetMonthCodeAndYear(D18,2))</f>
        <v>Z19</v>
      </c>
      <c r="B18" t="str">
        <f t="shared" ca="1" si="4"/>
        <v>S 03Z19</v>
      </c>
      <c r="D18" s="1">
        <f ca="1">_xll.QDates_NextLMECurveDate(D17,m3Date,FALSE)</f>
        <v>43817</v>
      </c>
      <c r="E18" s="43">
        <f ca="1">_xll.QUtils_ErrorReplace(IF($B18="S 0303",0,_xll.BDP("LM"&amp;E$5&amp;"D"&amp;$B18&amp;" Comdty","PX_SETTLE")),0)</f>
        <v>-58.5</v>
      </c>
      <c r="F18" s="44"/>
      <c r="G18" s="45">
        <f ca="1"/>
        <v>-58.5</v>
      </c>
      <c r="H18" s="43">
        <f ca="1">_xll.QUtils_ErrorReplace(IF($B18="S 0303",0,_xll.BDP("LM"&amp;H$5&amp;"D"&amp;$B18&amp;" Comdty","PX_SETTLE")),0)</f>
        <v>-30</v>
      </c>
      <c r="I18" s="44"/>
      <c r="J18" s="45">
        <f ca="1"/>
        <v>-30</v>
      </c>
      <c r="K18" s="43">
        <f ca="1">_xll.QUtils_ErrorReplace(IF($B18="S 0303",0,_xll.BDP("LM"&amp;K$5&amp;"D"&amp;$B18&amp;" Comdty","PX_SETTLE")),0)</f>
        <v>76.5</v>
      </c>
      <c r="L18" s="44"/>
      <c r="M18" s="45">
        <f ca="1"/>
        <v>76.5</v>
      </c>
      <c r="N18" s="43">
        <f ca="1">_xll.QUtils_ErrorReplace(IF($B18="S 0303",0,_xll.BDP("LM"&amp;N$5&amp;"D"&amp;$B18&amp;" Comdty","PX_SETTLE")),0)</f>
        <v>-215</v>
      </c>
      <c r="O18" s="6"/>
      <c r="P18" s="7">
        <f ca="1"/>
        <v>-215</v>
      </c>
      <c r="Q18" s="33">
        <f t="shared" ca="1" si="0"/>
        <v>1931.5</v>
      </c>
      <c r="R18" s="34">
        <f t="shared" ca="1" si="1"/>
        <v>6069.5</v>
      </c>
      <c r="S18" s="6">
        <f t="shared" ca="1" si="2"/>
        <v>2503.5</v>
      </c>
      <c r="T18" s="7">
        <f t="shared" ca="1" si="3"/>
        <v>11935</v>
      </c>
      <c r="W18" s="1">
        <f ca="1">_xll.QDates_SpecificWeekday(EDATE(W17,1),"Wednesday",1)</f>
        <v>43866</v>
      </c>
      <c r="X18" t="str">
        <f t="shared" ca="1" si="5"/>
        <v>FEB20</v>
      </c>
      <c r="Y18" s="19">
        <f ca="1">_xll.BDP(Y$1&amp;" "&amp;$X18&amp;" 10DP VOL LME Comdty","PX_LAST")/100</f>
        <v>0.19339595794677733</v>
      </c>
      <c r="Z18" s="20">
        <f ca="1">_xll.BDP(Y$1&amp;" "&amp;$X18&amp;" 25DP VOL LME Comdty","PX_LAST")/100</f>
        <v>0.18569818496704102</v>
      </c>
      <c r="AA18" s="25">
        <f ca="1">_xll.BDP(Y$1&amp;" "&amp;$X18&amp;" 50D VOL LME Comdty","PX_LAST")/100</f>
        <v>0.18379962921142579</v>
      </c>
      <c r="AB18" s="20">
        <f ca="1">_xll.BDP(Y$1&amp;" "&amp;$X18&amp;" 25DC VOL LME Comdty","PX_LAST")/100</f>
        <v>0.19329359054565429</v>
      </c>
      <c r="AC18" s="21">
        <f ca="1">_xll.BDP(Y$1&amp;" "&amp;$X18&amp;" 10DC VOL LME Comdty","PX_LAST")/100</f>
        <v>0.2046937370300293</v>
      </c>
      <c r="AD18" s="28">
        <f ca="1">_xll.BDP(AD$1&amp;" "&amp;$X18&amp;" 10DP VOL LME Comdty","PX_LAST")/100</f>
        <v>0.22779388427734376</v>
      </c>
      <c r="AE18" s="29">
        <f ca="1">_xll.BDP(AD$1&amp;" "&amp;$X18&amp;" 25DP VOL LME Comdty","PX_LAST")/100</f>
        <v>0.21309514999389648</v>
      </c>
      <c r="AF18" s="30">
        <f ca="1">_xll.BDP(AD$1&amp;" "&amp;$X18&amp;" 50D VOL LME Comdty","PX_LAST")/100</f>
        <v>0.19690053939819335</v>
      </c>
      <c r="AG18" s="29">
        <f ca="1">_xll.BDP(AD$1&amp;" "&amp;$X18&amp;" 25DC VOL LME Comdty","PX_LAST")/100</f>
        <v>0.20059715270996092</v>
      </c>
      <c r="AH18" s="31">
        <f ca="1">_xll.BDP(AD$1&amp;" "&amp;$X18&amp;" 10DC VOL LME Comdty","PX_LAST")/100</f>
        <v>0.20479738235473632</v>
      </c>
      <c r="AI18" s="11">
        <f ca="1">_xll.BDP(AI$5&amp;" "&amp;$X18&amp;" 50D VOL LME Comdty","PX_LAST")/100</f>
        <v>0.24060075759887695</v>
      </c>
      <c r="AJ18" s="11">
        <f ca="1">_xll.BDP(AJ$5&amp;" "&amp;$X18&amp;" 50D VOL LME Comdty","PX_LAST")/100</f>
        <v>0.2983987808227539</v>
      </c>
      <c r="AL18" s="1"/>
      <c r="AR18" s="1"/>
      <c r="AS18" s="1">
        <f ca="1"/>
        <v>43472</v>
      </c>
      <c r="AT18" s="84">
        <f ca="1"/>
        <v>1858</v>
      </c>
      <c r="AU18" s="84">
        <f ca="1">_xll.QCurves_DisplayFixingDictionary(AM$6,$AS18)</f>
        <v>5889.5</v>
      </c>
      <c r="AV18" s="84">
        <f ca="1">_xll.QCurves_DisplayFixingDictionary(AN$6,$AS18)</f>
        <v>2535</v>
      </c>
      <c r="AW18" s="84">
        <f ca="1">_xll.QCurves_DisplayFixingDictionary(AO$6,$AS18)</f>
        <v>11040</v>
      </c>
      <c r="AX18" s="84">
        <f ca="1">_xll.QCurves_DisplayFixingDictionary(AP$6,$AS18)</f>
        <v>13.895799999999999</v>
      </c>
      <c r="AY18" s="84">
        <f ca="1">_xll.QCurves_DisplayFixingDictionary(AQ$6,$AS18)</f>
        <v>1291.5</v>
      </c>
    </row>
    <row r="19" spans="1:51" x14ac:dyDescent="0.25">
      <c r="A19" t="str">
        <f ca="1">IF(D19=m3Date,"03",_xll.QDates_GetMonthCodeAndYear(D19,2))</f>
        <v>F20</v>
      </c>
      <c r="B19" t="str">
        <f t="shared" ca="1" si="4"/>
        <v>S 03F20</v>
      </c>
      <c r="D19" s="1">
        <f ca="1">_xll.QDates_NextLMECurveDate(D18,m3Date,FALSE)</f>
        <v>43845</v>
      </c>
      <c r="E19" s="43">
        <f ca="1">_xll.QUtils_ErrorReplace(IF($B19="S 0303",0,_xll.BDP("LM"&amp;E$5&amp;"D"&amp;$B19&amp;" Comdty","PX_SETTLE")),0)</f>
        <v>-63.5</v>
      </c>
      <c r="F19" s="44"/>
      <c r="G19" s="45">
        <f ca="1"/>
        <v>-63.5</v>
      </c>
      <c r="H19" s="43">
        <f ca="1">_xll.QUtils_ErrorReplace(IF($B19="S 0303",0,_xll.BDP("LM"&amp;H$5&amp;"D"&amp;$B19&amp;" Comdty","PX_SETTLE")),0)</f>
        <v>-32</v>
      </c>
      <c r="I19" s="44"/>
      <c r="J19" s="45">
        <f ca="1"/>
        <v>-32</v>
      </c>
      <c r="K19" s="43">
        <f ca="1">_xll.QUtils_ErrorReplace(IF($B19="S 0303",0,_xll.BDP("LM"&amp;K$5&amp;"D"&amp;$B19&amp;" Comdty","PX_SETTLE")),0)</f>
        <v>85.5</v>
      </c>
      <c r="L19" s="44"/>
      <c r="M19" s="45">
        <f ca="1"/>
        <v>85.5</v>
      </c>
      <c r="N19" s="43">
        <f ca="1">_xll.QUtils_ErrorReplace(IF($B19="S 0303",0,_xll.BDP("LM"&amp;N$5&amp;"D"&amp;$B19&amp;" Comdty","PX_SETTLE")),0)</f>
        <v>-238</v>
      </c>
      <c r="O19" s="6"/>
      <c r="P19" s="7">
        <f ca="1"/>
        <v>-238</v>
      </c>
      <c r="Q19" s="33">
        <f t="shared" ca="1" si="0"/>
        <v>1936.5</v>
      </c>
      <c r="R19" s="34">
        <f t="shared" ca="1" si="1"/>
        <v>6071.5</v>
      </c>
      <c r="S19" s="6">
        <f t="shared" ca="1" si="2"/>
        <v>2494.5</v>
      </c>
      <c r="T19" s="7">
        <f t="shared" ca="1" si="3"/>
        <v>11958</v>
      </c>
      <c r="W19" s="1">
        <f ca="1">_xll.QDates_SpecificWeekday(EDATE(W18,1),"Wednesday",1)</f>
        <v>43894</v>
      </c>
      <c r="X19" t="str">
        <f t="shared" ca="1" si="5"/>
        <v>MAR20</v>
      </c>
      <c r="Y19" s="19">
        <f ca="1">_xll.BDP(Y$1&amp;" "&amp;$X19&amp;" 10DP VOL LME Comdty","PX_LAST")/100</f>
        <v>0.19359601974487306</v>
      </c>
      <c r="Z19" s="20">
        <f ca="1">_xll.BDP(Y$1&amp;" "&amp;$X19&amp;" 25DP VOL LME Comdty","PX_LAST")/100</f>
        <v>0.18599819183349608</v>
      </c>
      <c r="AA19" s="25">
        <f ca="1">_xll.BDP(Y$1&amp;" "&amp;$X19&amp;" 50D VOL LME Comdty","PX_LAST")/100</f>
        <v>0.18389961242675781</v>
      </c>
      <c r="AB19" s="20">
        <f ca="1">_xll.BDP(Y$1&amp;" "&amp;$X19&amp;" 25DC VOL LME Comdty","PX_LAST")/100</f>
        <v>0.19349363327026367</v>
      </c>
      <c r="AC19" s="21">
        <f ca="1">_xll.BDP(Y$1&amp;" "&amp;$X19&amp;" 10DC VOL LME Comdty","PX_LAST")/100</f>
        <v>0.20459388732910155</v>
      </c>
      <c r="AD19" s="28">
        <f ca="1">_xll.BDP(AD$1&amp;" "&amp;$X19&amp;" 10DP VOL LME Comdty","PX_LAST")/100</f>
        <v>0.22859390258789061</v>
      </c>
      <c r="AE19" s="29">
        <f ca="1">_xll.BDP(AD$1&amp;" "&amp;$X19&amp;" 25DP VOL LME Comdty","PX_LAST")/100</f>
        <v>0.21379516601562501</v>
      </c>
      <c r="AF19" s="30">
        <f ca="1">_xll.BDP(AD$1&amp;" "&amp;$X19&amp;" 50D VOL LME Comdty","PX_LAST")/100</f>
        <v>0.19730056762695314</v>
      </c>
      <c r="AG19" s="29">
        <f ca="1">_xll.BDP(AD$1&amp;" "&amp;$X19&amp;" 25DC VOL LME Comdty","PX_LAST")/100</f>
        <v>0.20099712371826173</v>
      </c>
      <c r="AH19" s="31">
        <f ca="1">_xll.BDP(AD$1&amp;" "&amp;$X19&amp;" 10DC VOL LME Comdty","PX_LAST")/100</f>
        <v>0.20519737243652345</v>
      </c>
      <c r="AI19" s="11">
        <f ca="1">_xll.BDP(AI$5&amp;" "&amp;$X19&amp;" 50D VOL LME Comdty","PX_LAST")/100</f>
        <v>0.24060079574584961</v>
      </c>
      <c r="AJ19" s="11">
        <f ca="1">_xll.BDP(AJ$5&amp;" "&amp;$X19&amp;" 50D VOL LME Comdty","PX_LAST")/100</f>
        <v>0.2989987373352051</v>
      </c>
      <c r="AL19" s="1"/>
      <c r="AR19" s="1"/>
      <c r="AS19" s="1">
        <f ca="1"/>
        <v>43469</v>
      </c>
      <c r="AT19" s="84">
        <f ca="1"/>
        <v>1879</v>
      </c>
      <c r="AU19" s="84">
        <f ca="1">_xll.QCurves_DisplayFixingDictionary(AM$6,$AS19)</f>
        <v>5840</v>
      </c>
      <c r="AV19" s="84">
        <f ca="1">_xll.QCurves_DisplayFixingDictionary(AN$6,$AS19)</f>
        <v>2505</v>
      </c>
      <c r="AW19" s="84">
        <f ca="1">_xll.QCurves_DisplayFixingDictionary(AO$6,$AS19)</f>
        <v>10920</v>
      </c>
      <c r="AX19" s="84">
        <f ca="1">_xll.QCurves_DisplayFixingDictionary(AP$6,$AS19)</f>
        <v>14.128299999999999</v>
      </c>
      <c r="AY19" s="84">
        <f ca="1">_xll.QCurves_DisplayFixingDictionary(AQ$6,$AS19)</f>
        <v>1290.3499999999999</v>
      </c>
    </row>
    <row r="20" spans="1:51" x14ac:dyDescent="0.25">
      <c r="A20" t="str">
        <f ca="1">IF(D20=m3Date,"03",_xll.QDates_GetMonthCodeAndYear(D20,2))</f>
        <v>G20</v>
      </c>
      <c r="B20" t="str">
        <f t="shared" ca="1" si="4"/>
        <v>S 03G20</v>
      </c>
      <c r="D20" s="1">
        <f ca="1">_xll.QDates_NextLMECurveDate(D19,m3Date,FALSE)</f>
        <v>43880</v>
      </c>
      <c r="E20" s="43">
        <f ca="1">_xll.QUtils_ErrorReplace(IF($B20="S 0303",0,_xll.BDP("LM"&amp;E$5&amp;"D"&amp;$B20&amp;" Comdty","PX_SETTLE")),0)</f>
        <v>-71</v>
      </c>
      <c r="F20" s="44"/>
      <c r="G20" s="45">
        <f ca="1"/>
        <v>-71</v>
      </c>
      <c r="H20" s="43">
        <f ca="1">_xll.QUtils_ErrorReplace(IF($B20="S 0303",0,_xll.BDP("LM"&amp;H$5&amp;"D"&amp;$B20&amp;" Comdty","PX_SETTLE")),0)</f>
        <v>-34</v>
      </c>
      <c r="I20" s="44"/>
      <c r="J20" s="45">
        <f ca="1"/>
        <v>-34</v>
      </c>
      <c r="K20" s="43">
        <f ca="1">_xll.QUtils_ErrorReplace(IF($B20="S 0303",0,_xll.BDP("LM"&amp;K$5&amp;"D"&amp;$B20&amp;" Comdty","PX_SETTLE")),0)</f>
        <v>94.5</v>
      </c>
      <c r="L20" s="44"/>
      <c r="M20" s="45">
        <f ca="1"/>
        <v>94.5</v>
      </c>
      <c r="N20" s="43">
        <f ca="1">_xll.QUtils_ErrorReplace(IF($B20="S 0303",0,_xll.BDP("LM"&amp;N$5&amp;"D"&amp;$B20&amp;" Comdty","PX_SETTLE")),0)</f>
        <v>-260</v>
      </c>
      <c r="O20" s="6"/>
      <c r="P20" s="7">
        <f ca="1"/>
        <v>-260</v>
      </c>
      <c r="Q20" s="33">
        <f t="shared" ca="1" si="0"/>
        <v>1944</v>
      </c>
      <c r="R20" s="34">
        <f t="shared" ca="1" si="1"/>
        <v>6073.5</v>
      </c>
      <c r="S20" s="6">
        <f t="shared" ca="1" si="2"/>
        <v>2485.5</v>
      </c>
      <c r="T20" s="7">
        <f t="shared" ca="1" si="3"/>
        <v>11980</v>
      </c>
      <c r="W20" s="1">
        <f ca="1">_xll.QDates_SpecificWeekday(EDATE(W19,1),"Wednesday",1)</f>
        <v>43922</v>
      </c>
      <c r="X20" t="str">
        <f t="shared" ca="1" si="5"/>
        <v>APR20</v>
      </c>
      <c r="Y20" s="19">
        <f ca="1">_xll.BDP(Y$1&amp;" "&amp;$X20&amp;" 10DP VOL LME Comdty","PX_LAST")/100</f>
        <v>0.19369607925415039</v>
      </c>
      <c r="Z20" s="20">
        <f ca="1">_xll.BDP(Y$1&amp;" "&amp;$X20&amp;" 25DP VOL LME Comdty","PX_LAST")/100</f>
        <v>0.18599819183349608</v>
      </c>
      <c r="AA20" s="25">
        <f ca="1">_xll.BDP(Y$1&amp;" "&amp;$X20&amp;" 50D VOL LME Comdty","PX_LAST")/100</f>
        <v>0.18379961013793944</v>
      </c>
      <c r="AB20" s="20">
        <f ca="1">_xll.BDP(Y$1&amp;" "&amp;$X20&amp;" 25DC VOL LME Comdty","PX_LAST")/100</f>
        <v>0.19319375991821289</v>
      </c>
      <c r="AC20" s="21">
        <f ca="1">_xll.BDP(Y$1&amp;" "&amp;$X20&amp;" 10DC VOL LME Comdty","PX_LAST")/100</f>
        <v>0.20389410018920898</v>
      </c>
      <c r="AD20" s="28">
        <f ca="1">_xll.BDP(AD$1&amp;" "&amp;$X20&amp;" 10DP VOL LME Comdty","PX_LAST")/100</f>
        <v>0.22919391632080077</v>
      </c>
      <c r="AE20" s="29">
        <f ca="1">_xll.BDP(AD$1&amp;" "&amp;$X20&amp;" 25DP VOL LME Comdty","PX_LAST")/100</f>
        <v>0.21419519424438477</v>
      </c>
      <c r="AF20" s="30">
        <f ca="1">_xll.BDP(AD$1&amp;" "&amp;$X20&amp;" 50D VOL LME Comdty","PX_LAST")/100</f>
        <v>0.19750061035156249</v>
      </c>
      <c r="AG20" s="29">
        <f ca="1">_xll.BDP(AD$1&amp;" "&amp;$X20&amp;" 25DC VOL LME Comdty","PX_LAST")/100</f>
        <v>0.20109712600708007</v>
      </c>
      <c r="AH20" s="31">
        <f ca="1">_xll.BDP(AD$1&amp;" "&amp;$X20&amp;" 10DC VOL LME Comdty","PX_LAST")/100</f>
        <v>0.20519737243652345</v>
      </c>
      <c r="AI20" s="11">
        <f ca="1">_xll.BDP(AI$5&amp;" "&amp;$X20&amp;" 50D VOL LME Comdty","PX_LAST")/100</f>
        <v>0.24020095825195312</v>
      </c>
      <c r="AJ20" s="11">
        <f ca="1">_xll.BDP(AJ$5&amp;" "&amp;$X20&amp;" 50D VOL LME Comdty","PX_LAST")/100</f>
        <v>0.29729875564575198</v>
      </c>
      <c r="AL20" s="1"/>
      <c r="AR20" s="1"/>
      <c r="AS20" s="1">
        <f ca="1"/>
        <v>43468</v>
      </c>
      <c r="AT20" s="84">
        <f ca="1"/>
        <v>1825.5</v>
      </c>
      <c r="AU20" s="84">
        <f ca="1">_xll.QCurves_DisplayFixingDictionary(AM$6,$AS20)</f>
        <v>5811</v>
      </c>
      <c r="AV20" s="84">
        <f ca="1">_xll.QCurves_DisplayFixingDictionary(AN$6,$AS20)</f>
        <v>2480</v>
      </c>
      <c r="AW20" s="84">
        <f ca="1">_xll.QCurves_DisplayFixingDictionary(AO$6,$AS20)</f>
        <v>10715</v>
      </c>
      <c r="AX20" s="84">
        <f ca="1">_xll.QCurves_DisplayFixingDictionary(AP$6,$AS20)</f>
        <v>14.4787</v>
      </c>
      <c r="AY20" s="84">
        <f ca="1">_xll.QCurves_DisplayFixingDictionary(AQ$6,$AS20)</f>
        <v>1287.95</v>
      </c>
    </row>
    <row r="21" spans="1:51" x14ac:dyDescent="0.25">
      <c r="A21" t="str">
        <f ca="1">IF(D21=m3Date,"03",_xll.QDates_GetMonthCodeAndYear(D21,2))</f>
        <v>H20</v>
      </c>
      <c r="B21" t="str">
        <f t="shared" ca="1" si="4"/>
        <v>S 03H20</v>
      </c>
      <c r="D21" s="1">
        <f ca="1">_xll.QDates_NextLMECurveDate(D20,m3Date,FALSE)</f>
        <v>43908</v>
      </c>
      <c r="E21" s="43">
        <f ca="1">_xll.QUtils_ErrorReplace(IF($B21="S 0303",0,_xll.BDP("LM"&amp;E$5&amp;"D"&amp;$B21&amp;" Comdty","PX_SETTLE")),0)</f>
        <v>-77.5</v>
      </c>
      <c r="F21" s="44"/>
      <c r="G21" s="45">
        <f ca="1"/>
        <v>-77.5</v>
      </c>
      <c r="H21" s="43">
        <f ca="1">_xll.QUtils_ErrorReplace(IF($B21="S 0303",0,_xll.BDP("LM"&amp;H$5&amp;"D"&amp;$B21&amp;" Comdty","PX_SETTLE")),0)</f>
        <v>-36</v>
      </c>
      <c r="I21" s="44"/>
      <c r="J21" s="45">
        <f ca="1"/>
        <v>-36</v>
      </c>
      <c r="K21" s="43">
        <f ca="1">_xll.QUtils_ErrorReplace(IF($B21="S 0303",0,_xll.BDP("LM"&amp;K$5&amp;"D"&amp;$B21&amp;" Comdty","PX_SETTLE")),0)</f>
        <v>103.5</v>
      </c>
      <c r="L21" s="44"/>
      <c r="M21" s="45">
        <f ca="1"/>
        <v>103.5</v>
      </c>
      <c r="N21" s="43">
        <f ca="1">_xll.QUtils_ErrorReplace(IF($B21="S 0303",0,_xll.BDP("LM"&amp;N$5&amp;"D"&amp;$B21&amp;" Comdty","PX_SETTLE")),0)</f>
        <v>-282</v>
      </c>
      <c r="O21" s="6"/>
      <c r="P21" s="7">
        <f ca="1"/>
        <v>-282</v>
      </c>
      <c r="Q21" s="33">
        <f t="shared" ca="1" si="0"/>
        <v>1950.5</v>
      </c>
      <c r="R21" s="34">
        <f t="shared" ca="1" si="1"/>
        <v>6075.5</v>
      </c>
      <c r="S21" s="6">
        <f t="shared" ca="1" si="2"/>
        <v>2476.5</v>
      </c>
      <c r="T21" s="7">
        <f t="shared" ca="1" si="3"/>
        <v>12002</v>
      </c>
      <c r="U21" s="15"/>
      <c r="W21" s="1">
        <f ca="1">_xll.QDates_SpecificWeekday(EDATE(W20,1),"Wednesday",1)</f>
        <v>43957</v>
      </c>
      <c r="X21" t="str">
        <f t="shared" ca="1" si="5"/>
        <v>MAY20</v>
      </c>
      <c r="Y21" s="19">
        <f ca="1">_xll.BDP(Y$1&amp;" "&amp;$X21&amp;" 10DP VOL LME Comdty","PX_LAST")/100</f>
        <v>0.1937961196899414</v>
      </c>
      <c r="Z21" s="20">
        <f ca="1">_xll.BDP(Y$1&amp;" "&amp;$X21&amp;" 25DP VOL LME Comdty","PX_LAST")/100</f>
        <v>0.1861981964111328</v>
      </c>
      <c r="AA21" s="25">
        <f ca="1">_xll.BDP(Y$1&amp;" "&amp;$X21&amp;" 50D VOL LME Comdty","PX_LAST")/100</f>
        <v>0.18369960784912109</v>
      </c>
      <c r="AB21" s="20">
        <f ca="1">_xll.BDP(Y$1&amp;" "&amp;$X21&amp;" 25DC VOL LME Comdty","PX_LAST")/100</f>
        <v>0.19309398651123047</v>
      </c>
      <c r="AC21" s="21">
        <f ca="1">_xll.BDP(Y$1&amp;" "&amp;$X21&amp;" 10DC VOL LME Comdty","PX_LAST")/100</f>
        <v>0.20349447250366212</v>
      </c>
      <c r="AD21" s="28">
        <f ca="1">_xll.BDP(AD$1&amp;" "&amp;$X21&amp;" 10DP VOL LME Comdty","PX_LAST")/100</f>
        <v>0.22999391555786133</v>
      </c>
      <c r="AE21" s="29">
        <f ca="1">_xll.BDP(AD$1&amp;" "&amp;$X21&amp;" 25DP VOL LME Comdty","PX_LAST")/100</f>
        <v>0.21479522705078125</v>
      </c>
      <c r="AF21" s="30">
        <f ca="1">_xll.BDP(AD$1&amp;" "&amp;$X21&amp;" 50D VOL LME Comdty","PX_LAST")/100</f>
        <v>0.19780065536499022</v>
      </c>
      <c r="AG21" s="29">
        <f ca="1">_xll.BDP(AD$1&amp;" "&amp;$X21&amp;" 25DC VOL LME Comdty","PX_LAST")/100</f>
        <v>0.2013970947265625</v>
      </c>
      <c r="AH21" s="31">
        <f ca="1">_xll.BDP(AD$1&amp;" "&amp;$X21&amp;" 10DC VOL LME Comdty","PX_LAST")/100</f>
        <v>0.20549737930297851</v>
      </c>
      <c r="AI21" s="11">
        <f ca="1">_xll.BDP(AI$5&amp;" "&amp;$X21&amp;" 50D VOL LME Comdty","PX_LAST")/100</f>
        <v>0.24000106811523436</v>
      </c>
      <c r="AJ21" s="11">
        <f ca="1">_xll.BDP(AJ$5&amp;" "&amp;$X21&amp;" 50D VOL LME Comdty","PX_LAST")/100</f>
        <v>0.29749872207641603</v>
      </c>
      <c r="AL21" s="5" t="s">
        <v>35</v>
      </c>
      <c r="AM21" t="str">
        <f ca="1">_xll.QCurves_CreateAssetFxModel(AL21,ValDate,Q2:V2,_xll.QUtils_GoodValues(Y3:AJ3),FundingFx!B27,MetalCurves!AL6:AQ6,AM14)</f>
        <v>Model¬1</v>
      </c>
      <c r="AR21" s="1"/>
      <c r="AS21" s="1">
        <f ca="1"/>
        <v>43467</v>
      </c>
      <c r="AT21" s="84">
        <f ca="1"/>
        <v>1858</v>
      </c>
      <c r="AU21" s="84">
        <f ca="1">_xll.QCurves_DisplayFixingDictionary(AM$6,$AS21)</f>
        <v>5839</v>
      </c>
      <c r="AV21" s="84">
        <f ca="1">_xll.QCurves_DisplayFixingDictionary(AN$6,$AS21)</f>
        <v>2462</v>
      </c>
      <c r="AW21" s="84">
        <f ca="1">_xll.QCurves_DisplayFixingDictionary(AO$6,$AS21)</f>
        <v>10440</v>
      </c>
      <c r="AX21" s="84">
        <f ca="1">_xll.QCurves_DisplayFixingDictionary(AP$6,$AS21)</f>
        <v>14.4916</v>
      </c>
      <c r="AY21" s="84">
        <f ca="1">_xll.QCurves_DisplayFixingDictionary(AQ$6,$AS21)</f>
        <v>1287.2</v>
      </c>
    </row>
    <row r="22" spans="1:51" x14ac:dyDescent="0.25">
      <c r="A22" t="str">
        <f ca="1">IF(D22=m3Date,"03",_xll.QDates_GetMonthCodeAndYear(D22,2))</f>
        <v>J20</v>
      </c>
      <c r="B22" t="str">
        <f t="shared" ca="1" si="4"/>
        <v>S 03J20</v>
      </c>
      <c r="D22" s="1">
        <f ca="1">_xll.QDates_NextLMECurveDate(D21,m3Date,FALSE)</f>
        <v>43936</v>
      </c>
      <c r="E22" s="43">
        <f ca="1">_xll.QUtils_ErrorReplace(IF($B22="S 0303",0,_xll.BDP("LM"&amp;E$5&amp;"D"&amp;$B22&amp;" Comdty","PX_SETTLE")),0)</f>
        <v>-83.5</v>
      </c>
      <c r="F22" s="44"/>
      <c r="G22" s="45">
        <f ca="1"/>
        <v>-83.5</v>
      </c>
      <c r="H22" s="43">
        <f ca="1">_xll.QUtils_ErrorReplace(IF($B22="S 0303",0,_xll.BDP("LM"&amp;H$5&amp;"D"&amp;$B22&amp;" Comdty","PX_SETTLE")),0)</f>
        <v>-38</v>
      </c>
      <c r="I22" s="44"/>
      <c r="J22" s="45">
        <f ca="1"/>
        <v>-38</v>
      </c>
      <c r="K22" s="43">
        <f ca="1">_xll.QUtils_ErrorReplace(IF($B22="S 0303",0,_xll.BDP("LM"&amp;K$5&amp;"D"&amp;$B22&amp;" Comdty","PX_SETTLE")),0)</f>
        <v>112.5</v>
      </c>
      <c r="L22" s="44"/>
      <c r="M22" s="45">
        <f ca="1"/>
        <v>112.5</v>
      </c>
      <c r="N22" s="43">
        <f ca="1">_xll.QUtils_ErrorReplace(IF($B22="S 0303",0,_xll.BDP("LM"&amp;N$5&amp;"D"&amp;$B22&amp;" Comdty","PX_SETTLE")),0)</f>
        <v>-304</v>
      </c>
      <c r="O22" s="6"/>
      <c r="P22" s="7">
        <f ca="1"/>
        <v>-304</v>
      </c>
      <c r="Q22" s="33">
        <f t="shared" ca="1" si="0"/>
        <v>1956.5</v>
      </c>
      <c r="R22" s="34">
        <f t="shared" ca="1" si="1"/>
        <v>6077.5</v>
      </c>
      <c r="S22" s="6">
        <f t="shared" ca="1" si="2"/>
        <v>2467.5</v>
      </c>
      <c r="T22" s="7">
        <f t="shared" ca="1" si="3"/>
        <v>12024</v>
      </c>
      <c r="W22" s="1">
        <f ca="1">_xll.QDates_SpecificWeekday(EDATE(W21,1),"Wednesday",1)</f>
        <v>43985</v>
      </c>
      <c r="X22" t="str">
        <f t="shared" ca="1" si="5"/>
        <v>JUN20</v>
      </c>
      <c r="Y22" s="19">
        <f ca="1">_xll.BDP(Y$1&amp;" "&amp;$X22&amp;" 10DP VOL LME Comdty","PX_LAST")/100</f>
        <v>0.19389617919921875</v>
      </c>
      <c r="Z22" s="20">
        <f ca="1">_xll.BDP(Y$1&amp;" "&amp;$X22&amp;" 25DP VOL LME Comdty","PX_LAST")/100</f>
        <v>0.18629817962646483</v>
      </c>
      <c r="AA22" s="25">
        <f ca="1">_xll.BDP(Y$1&amp;" "&amp;$X22&amp;" 50D VOL LME Comdty","PX_LAST")/100</f>
        <v>0.1835995864868164</v>
      </c>
      <c r="AB22" s="20">
        <f ca="1">_xll.BDP(Y$1&amp;" "&amp;$X22&amp;" 25DC VOL LME Comdty","PX_LAST")/100</f>
        <v>0.19299427032470703</v>
      </c>
      <c r="AC22" s="21">
        <f ca="1">_xll.BDP(Y$1&amp;" "&amp;$X22&amp;" 10DC VOL LME Comdty","PX_LAST")/100</f>
        <v>0.20179479598999023</v>
      </c>
      <c r="AD22" s="28">
        <f ca="1">_xll.BDP(AD$1&amp;" "&amp;$X22&amp;" 10DP VOL LME Comdty","PX_LAST")/100</f>
        <v>0.23089387893676758</v>
      </c>
      <c r="AE22" s="29">
        <f ca="1">_xll.BDP(AD$1&amp;" "&amp;$X22&amp;" 25DP VOL LME Comdty","PX_LAST")/100</f>
        <v>0.21539524078369141</v>
      </c>
      <c r="AF22" s="30">
        <f ca="1">_xll.BDP(AD$1&amp;" "&amp;$X22&amp;" 50D VOL LME Comdty","PX_LAST")/100</f>
        <v>0.19810066223144532</v>
      </c>
      <c r="AG22" s="29">
        <f ca="1">_xll.BDP(AD$1&amp;" "&amp;$X22&amp;" 25DC VOL LME Comdty","PX_LAST")/100</f>
        <v>0.20169708251953125</v>
      </c>
      <c r="AH22" s="31">
        <f ca="1">_xll.BDP(AD$1&amp;" "&amp;$X22&amp;" 10DC VOL LME Comdty","PX_LAST")/100</f>
        <v>0.2057973861694336</v>
      </c>
      <c r="AI22" s="11">
        <f ca="1">_xll.BDP(AI$5&amp;" "&amp;$X22&amp;" 50D VOL LME Comdty","PX_LAST")/100</f>
        <v>0.24000114440917969</v>
      </c>
      <c r="AJ22" s="11">
        <f ca="1">_xll.BDP(AJ$5&amp;" "&amp;$X22&amp;" 50D VOL LME Comdty","PX_LAST")/100</f>
        <v>0.29789869308471678</v>
      </c>
      <c r="AL22" s="1"/>
      <c r="AR22" s="1"/>
      <c r="AS22" s="1">
        <f ca="1"/>
        <v>43465</v>
      </c>
      <c r="AT22" s="84">
        <f ca="1"/>
        <v>1869.5</v>
      </c>
      <c r="AU22" s="84">
        <f ca="1">_xll.QCurves_DisplayFixingDictionary(AM$6,$AS22)</f>
        <v>5965</v>
      </c>
      <c r="AV22" s="84">
        <f ca="1">_xll.QCurves_DisplayFixingDictionary(AN$6,$AS22)</f>
        <v>2510.5</v>
      </c>
      <c r="AW22" s="84">
        <f ca="1">_xll.QCurves_DisplayFixingDictionary(AO$6,$AS22)</f>
        <v>10595</v>
      </c>
      <c r="AX22" s="84">
        <f ca="1">_xll.QCurves_DisplayFixingDictionary(AP$6,$AS22)</f>
        <v>14.365</v>
      </c>
      <c r="AY22" s="84">
        <f ca="1">_xll.QCurves_DisplayFixingDictionary(AQ$6,$AS22)</f>
        <v>1281.6500000000001</v>
      </c>
    </row>
    <row r="23" spans="1:51" x14ac:dyDescent="0.25">
      <c r="A23" t="str">
        <f ca="1">IF(D23=m3Date,"03",_xll.QDates_GetMonthCodeAndYear(D23,2))</f>
        <v>K20</v>
      </c>
      <c r="B23" t="str">
        <f t="shared" ca="1" si="4"/>
        <v>S 03K20</v>
      </c>
      <c r="D23" s="1">
        <f ca="1">_xll.QDates_NextLMECurveDate(D22,m3Date,FALSE)</f>
        <v>43971</v>
      </c>
      <c r="E23" s="43">
        <f ca="1">_xll.QUtils_ErrorReplace(IF($B23="S 0303",0,_xll.BDP("LM"&amp;E$5&amp;"D"&amp;$B23&amp;" Comdty","PX_SETTLE")),0)</f>
        <v>-91</v>
      </c>
      <c r="F23" s="44"/>
      <c r="G23" s="45">
        <f ca="1"/>
        <v>-91</v>
      </c>
      <c r="H23" s="43">
        <f ca="1">_xll.QUtils_ErrorReplace(IF($B23="S 0303",0,_xll.BDP("LM"&amp;H$5&amp;"D"&amp;$B23&amp;" Comdty","PX_SETTLE")),0)</f>
        <v>-40</v>
      </c>
      <c r="I23" s="44"/>
      <c r="J23" s="45">
        <f ca="1"/>
        <v>-40</v>
      </c>
      <c r="K23" s="43">
        <f ca="1">_xll.QUtils_ErrorReplace(IF($B23="S 0303",0,_xll.BDP("LM"&amp;K$5&amp;"D"&amp;$B23&amp;" Comdty","PX_SETTLE")),0)</f>
        <v>122</v>
      </c>
      <c r="L23" s="44"/>
      <c r="M23" s="45">
        <f ca="1"/>
        <v>122</v>
      </c>
      <c r="N23" s="43">
        <f ca="1">_xll.QUtils_ErrorReplace(IF($B23="S 0303",0,_xll.BDP("LM"&amp;N$5&amp;"D"&amp;$B23&amp;" Comdty","PX_SETTLE")),0)</f>
        <v>-326</v>
      </c>
      <c r="O23" s="6"/>
      <c r="P23" s="7">
        <f ca="1"/>
        <v>-326</v>
      </c>
      <c r="Q23" s="33">
        <f t="shared" ca="1" si="0"/>
        <v>1964</v>
      </c>
      <c r="R23" s="34">
        <f t="shared" ca="1" si="1"/>
        <v>6079.5</v>
      </c>
      <c r="S23" s="6">
        <f t="shared" ca="1" si="2"/>
        <v>2458</v>
      </c>
      <c r="T23" s="7">
        <f t="shared" ca="1" si="3"/>
        <v>12046</v>
      </c>
      <c r="W23" s="1">
        <f ca="1">_xll.QDates_SpecificWeekday(EDATE(W22,1),"Wednesday",1)</f>
        <v>44013</v>
      </c>
      <c r="X23" t="str">
        <f t="shared" ca="1" si="5"/>
        <v>JUL20</v>
      </c>
      <c r="Y23" s="19">
        <f ca="1">_xll.BDP(Y$1&amp;" "&amp;$X23&amp;" 10DP VOL LME Comdty","PX_LAST")/100</f>
        <v>0.19409618377685547</v>
      </c>
      <c r="Z23" s="20">
        <f ca="1">_xll.BDP(Y$1&amp;" "&amp;$X23&amp;" 25DP VOL LME Comdty","PX_LAST")/100</f>
        <v>0.1861981201171875</v>
      </c>
      <c r="AA23" s="25">
        <f ca="1">_xll.BDP(Y$1&amp;" "&amp;$X23&amp;" 50D VOL LME Comdty","PX_LAST")/100</f>
        <v>0.18309961318969725</v>
      </c>
      <c r="AB23" s="20">
        <f ca="1">_xll.BDP(Y$1&amp;" "&amp;$X23&amp;" 25DC VOL LME Comdty","PX_LAST")/100</f>
        <v>0.19229444503784179</v>
      </c>
      <c r="AC23" s="21">
        <f ca="1">_xll.BDP(Y$1&amp;" "&amp;$X23&amp;" 10DC VOL LME Comdty","PX_LAST")/100</f>
        <v>0.20089504241943359</v>
      </c>
      <c r="AD23" s="28">
        <f ca="1">_xll.BDP(AD$1&amp;" "&amp;$X23&amp;" 10DP VOL LME Comdty","PX_LAST")/100</f>
        <v>0.23159387588500976</v>
      </c>
      <c r="AE23" s="29">
        <f ca="1">_xll.BDP(AD$1&amp;" "&amp;$X23&amp;" 25DP VOL LME Comdty","PX_LAST")/100</f>
        <v>0.21599527359008788</v>
      </c>
      <c r="AF23" s="30">
        <f ca="1">_xll.BDP(AD$1&amp;" "&amp;$X23&amp;" 50D VOL LME Comdty","PX_LAST")/100</f>
        <v>0.19860071182250977</v>
      </c>
      <c r="AG23" s="29">
        <f ca="1">_xll.BDP(AD$1&amp;" "&amp;$X23&amp;" 25DC VOL LME Comdty","PX_LAST")/100</f>
        <v>0.20209709167480469</v>
      </c>
      <c r="AH23" s="31">
        <f ca="1">_xll.BDP(AD$1&amp;" "&amp;$X23&amp;" 10DC VOL LME Comdty","PX_LAST")/100</f>
        <v>0.20609743118286133</v>
      </c>
      <c r="AI23" s="11">
        <f ca="1">_xll.BDP(AI$5&amp;" "&amp;$X23&amp;" 50D VOL LME Comdty","PX_LAST")/100</f>
        <v>0.23950119018554689</v>
      </c>
      <c r="AJ23" s="11">
        <f ca="1">_xll.BDP(AJ$5&amp;" "&amp;$X23&amp;" 50D VOL LME Comdty","PX_LAST")/100</f>
        <v>0.29789867401123049</v>
      </c>
      <c r="AL23" s="1"/>
      <c r="AR23" s="1"/>
      <c r="AS23" s="1">
        <f ca="1"/>
        <v>43462</v>
      </c>
      <c r="AT23" s="84">
        <f ca="1"/>
        <v>1881</v>
      </c>
      <c r="AU23" s="84">
        <f ca="1">_xll.QCurves_DisplayFixingDictionary(AM$6,$AS23)</f>
        <v>6018</v>
      </c>
      <c r="AV23" s="84">
        <f ca="1">_xll.QCurves_DisplayFixingDictionary(AN$6,$AS23)</f>
        <v>2542.5</v>
      </c>
      <c r="AW23" s="84">
        <f ca="1">_xll.QCurves_DisplayFixingDictionary(AO$6,$AS23)</f>
        <v>10670</v>
      </c>
      <c r="AX23" s="84">
        <f ca="1">_xll.QCurves_DisplayFixingDictionary(AP$6,$AS23)</f>
        <v>14.3675</v>
      </c>
      <c r="AY23" s="84">
        <f ca="1">_xll.QCurves_DisplayFixingDictionary(AQ$6,$AS23)</f>
        <v>1277.25</v>
      </c>
    </row>
    <row r="24" spans="1:51" x14ac:dyDescent="0.25">
      <c r="A24" t="str">
        <f ca="1">IF(D24=m3Date,"03",_xll.QDates_GetMonthCodeAndYear(D24,2))</f>
        <v>M20</v>
      </c>
      <c r="B24" t="str">
        <f t="shared" ca="1" si="4"/>
        <v>S 03M20</v>
      </c>
      <c r="D24" s="1">
        <f ca="1">_xll.QDates_NextLMECurveDate(D23,m3Date,FALSE)</f>
        <v>43999</v>
      </c>
      <c r="E24" s="43">
        <f ca="1">_xll.QUtils_ErrorReplace(IF($B24="S 0303",0,_xll.BDP("LM"&amp;E$5&amp;"D"&amp;$B24&amp;" Comdty","PX_SETTLE")),0)</f>
        <v>-96.75</v>
      </c>
      <c r="F24" s="44"/>
      <c r="G24" s="45">
        <f ca="1"/>
        <v>-96.75</v>
      </c>
      <c r="H24" s="43">
        <f ca="1">_xll.QUtils_ErrorReplace(IF($B24="S 0303",0,_xll.BDP("LM"&amp;H$5&amp;"D"&amp;$B24&amp;" Comdty","PX_SETTLE")),0)</f>
        <v>-42</v>
      </c>
      <c r="I24" s="44"/>
      <c r="J24" s="45">
        <f ca="1"/>
        <v>-42</v>
      </c>
      <c r="K24" s="43">
        <f ca="1">_xll.QUtils_ErrorReplace(IF($B24="S 0303",0,_xll.BDP("LM"&amp;K$5&amp;"D"&amp;$B24&amp;" Comdty","PX_SETTLE")),0)</f>
        <v>131.5</v>
      </c>
      <c r="L24" s="44"/>
      <c r="M24" s="45">
        <f ca="1"/>
        <v>131.5</v>
      </c>
      <c r="N24" s="43">
        <f ca="1">_xll.QUtils_ErrorReplace(IF($B24="S 0303",0,_xll.BDP("LM"&amp;N$5&amp;"D"&amp;$B24&amp;" Comdty","PX_SETTLE")),0)</f>
        <v>-348</v>
      </c>
      <c r="O24" s="6"/>
      <c r="P24" s="7">
        <f ca="1"/>
        <v>-348</v>
      </c>
      <c r="Q24" s="33">
        <f t="shared" ca="1" si="0"/>
        <v>1969.75</v>
      </c>
      <c r="R24" s="34">
        <f t="shared" ca="1" si="1"/>
        <v>6081.5</v>
      </c>
      <c r="S24" s="6">
        <f t="shared" ca="1" si="2"/>
        <v>2448.5</v>
      </c>
      <c r="T24" s="7">
        <f t="shared" ca="1" si="3"/>
        <v>12068</v>
      </c>
      <c r="W24" s="1">
        <f ca="1">_xll.QDates_SpecificWeekday(EDATE(W23,1),"Wednesday",1)</f>
        <v>44048</v>
      </c>
      <c r="X24" t="str">
        <f t="shared" ca="1" si="5"/>
        <v>AUG20</v>
      </c>
      <c r="Y24" s="19">
        <f ca="1">_xll.BDP(Y$1&amp;" "&amp;$X24&amp;" 10DP VOL LME Comdty","PX_LAST")/100</f>
        <v>0.19419618606567382</v>
      </c>
      <c r="Z24" s="20">
        <f ca="1">_xll.BDP(Y$1&amp;" "&amp;$X24&amp;" 25DP VOL LME Comdty","PX_LAST")/100</f>
        <v>0.18639810562133788</v>
      </c>
      <c r="AA24" s="25">
        <f ca="1">_xll.BDP(Y$1&amp;" "&amp;$X24&amp;" 50D VOL LME Comdty","PX_LAST")/100</f>
        <v>0.18289962768554688</v>
      </c>
      <c r="AB24" s="20">
        <f ca="1">_xll.BDP(Y$1&amp;" "&amp;$X24&amp;" 25DC VOL LME Comdty","PX_LAST")/100</f>
        <v>0.19199459075927736</v>
      </c>
      <c r="AC24" s="21">
        <f ca="1">_xll.BDP(Y$1&amp;" "&amp;$X24&amp;" 10DC VOL LME Comdty","PX_LAST")/100</f>
        <v>0.20009523391723633</v>
      </c>
      <c r="AD24" s="28">
        <f ca="1">_xll.BDP(AD$1&amp;" "&amp;$X24&amp;" 10DP VOL LME Comdty","PX_LAST")/100</f>
        <v>0.23249383926391601</v>
      </c>
      <c r="AE24" s="29">
        <f ca="1">_xll.BDP(AD$1&amp;" "&amp;$X24&amp;" 25DP VOL LME Comdty","PX_LAST")/100</f>
        <v>0.21669528961181642</v>
      </c>
      <c r="AF24" s="30">
        <f ca="1">_xll.BDP(AD$1&amp;" "&amp;$X24&amp;" 50D VOL LME Comdty","PX_LAST")/100</f>
        <v>0.19880073547363281</v>
      </c>
      <c r="AG24" s="29">
        <f ca="1">_xll.BDP(AD$1&amp;" "&amp;$X24&amp;" 25DC VOL LME Comdty","PX_LAST")/100</f>
        <v>0.20239709854125976</v>
      </c>
      <c r="AH24" s="31">
        <f ca="1">_xll.BDP(AD$1&amp;" "&amp;$X24&amp;" 10DC VOL LME Comdty","PX_LAST")/100</f>
        <v>0.20629747390747069</v>
      </c>
      <c r="AI24" s="11">
        <f ca="1">_xll.BDP(AI$5&amp;" "&amp;$X24&amp;" 50D VOL LME Comdty","PX_LAST")/100</f>
        <v>0.23950122833251952</v>
      </c>
      <c r="AJ24" s="11">
        <f ca="1">_xll.BDP(AJ$5&amp;" "&amp;$X24&amp;" 50D VOL LME Comdty","PX_LAST")/100</f>
        <v>0.2982986068725586</v>
      </c>
      <c r="AL24" s="1"/>
      <c r="AR24" s="1"/>
      <c r="AS24" s="1">
        <f ca="1"/>
        <v>43461</v>
      </c>
      <c r="AT24" s="84">
        <f ca="1"/>
        <v>1898</v>
      </c>
      <c r="AU24" s="84">
        <f ca="1">_xll.QCurves_DisplayFixingDictionary(AM$6,$AS24)</f>
        <v>5990</v>
      </c>
      <c r="AV24" s="84">
        <f ca="1">_xll.QCurves_DisplayFixingDictionary(AN$6,$AS24)</f>
        <v>2553</v>
      </c>
      <c r="AW24" s="84">
        <f ca="1">_xll.QCurves_DisplayFixingDictionary(AO$6,$AS24)</f>
        <v>10650</v>
      </c>
      <c r="AX24" s="84">
        <f ca="1">_xll.QCurves_DisplayFixingDictionary(AP$6,$AS24)</f>
        <v>14.5114</v>
      </c>
      <c r="AY24" s="84">
        <f ca="1">_xll.QCurves_DisplayFixingDictionary(AQ$6,$AS24)</f>
        <v>1271.0999999999999</v>
      </c>
    </row>
    <row r="25" spans="1:51" x14ac:dyDescent="0.25">
      <c r="A25" t="str">
        <f ca="1">IF(D25=m3Date,"03",_xll.QDates_GetMonthCodeAndYear(D25,2))</f>
        <v>N20</v>
      </c>
      <c r="B25" t="str">
        <f t="shared" ca="1" si="4"/>
        <v>S 03N20</v>
      </c>
      <c r="D25" s="1">
        <f ca="1">_xll.QDates_NextLMECurveDate(D24,m3Date,FALSE)</f>
        <v>44027</v>
      </c>
      <c r="E25" s="43">
        <f ca="1">_xll.QUtils_ErrorReplace(IF($B25="S 0303",0,_xll.BDP("LM"&amp;E$5&amp;"D"&amp;$B25&amp;" Comdty","PX_SETTLE")),0)</f>
        <v>-102.25</v>
      </c>
      <c r="F25" s="44"/>
      <c r="G25" s="45">
        <f ca="1"/>
        <v>-102.25</v>
      </c>
      <c r="H25" s="43">
        <f ca="1">_xll.QUtils_ErrorReplace(IF($B25="S 0303",0,_xll.BDP("LM"&amp;H$5&amp;"D"&amp;$B25&amp;" Comdty","PX_SETTLE")),0)</f>
        <v>-43.5</v>
      </c>
      <c r="I25" s="44"/>
      <c r="J25" s="45">
        <f ca="1"/>
        <v>-43.5</v>
      </c>
      <c r="K25" s="43">
        <f ca="1">_xll.QUtils_ErrorReplace(IF($B25="S 0303",0,_xll.BDP("LM"&amp;K$5&amp;"D"&amp;$B25&amp;" Comdty","PX_SETTLE")),0)</f>
        <v>141.5</v>
      </c>
      <c r="L25" s="44"/>
      <c r="M25" s="45">
        <f ca="1"/>
        <v>141.5</v>
      </c>
      <c r="N25" s="43">
        <f ca="1">_xll.QUtils_ErrorReplace(IF($B25="S 0303",0,_xll.BDP("LM"&amp;N$5&amp;"D"&amp;$B25&amp;" Comdty","PX_SETTLE")),0)</f>
        <v>-370</v>
      </c>
      <c r="O25" s="6"/>
      <c r="P25" s="7">
        <f ca="1"/>
        <v>-370</v>
      </c>
      <c r="Q25" s="33">
        <f t="shared" ca="1" si="0"/>
        <v>1975.25</v>
      </c>
      <c r="R25" s="34">
        <f t="shared" ca="1" si="1"/>
        <v>6083</v>
      </c>
      <c r="S25" s="6">
        <f t="shared" ca="1" si="2"/>
        <v>2438.5</v>
      </c>
      <c r="T25" s="7">
        <f t="shared" ca="1" si="3"/>
        <v>12090</v>
      </c>
      <c r="W25" s="1">
        <f ca="1">_xll.QDates_SpecificWeekday(EDATE(W24,1),"Wednesday",1)</f>
        <v>44076</v>
      </c>
      <c r="X25" t="str">
        <f t="shared" ca="1" si="5"/>
        <v>SEP20</v>
      </c>
      <c r="Y25" s="19">
        <f ca="1">_xll.BDP(Y$1&amp;" "&amp;$X25&amp;" 10DP VOL LME Comdty","PX_LAST")/100</f>
        <v>0.19429618835449219</v>
      </c>
      <c r="Z25" s="20">
        <f ca="1">_xll.BDP(Y$1&amp;" "&amp;$X25&amp;" 25DP VOL LME Comdty","PX_LAST")/100</f>
        <v>0.18639808654785156</v>
      </c>
      <c r="AA25" s="25">
        <f ca="1">_xll.BDP(Y$1&amp;" "&amp;$X25&amp;" 50D VOL LME Comdty","PX_LAST")/100</f>
        <v>0.18269966125488282</v>
      </c>
      <c r="AB25" s="20">
        <f ca="1">_xll.BDP(Y$1&amp;" "&amp;$X25&amp;" 25DC VOL LME Comdty","PX_LAST")/100</f>
        <v>0.19129465103149415</v>
      </c>
      <c r="AC25" s="21">
        <f ca="1">_xll.BDP(Y$1&amp;" "&amp;$X25&amp;" 10DC VOL LME Comdty","PX_LAST")/100</f>
        <v>0.1997952651977539</v>
      </c>
      <c r="AD25" s="28">
        <f ca="1">_xll.BDP(AD$1&amp;" "&amp;$X25&amp;" 10DP VOL LME Comdty","PX_LAST")/100</f>
        <v>0.23309383392333985</v>
      </c>
      <c r="AE25" s="29">
        <f ca="1">_xll.BDP(AD$1&amp;" "&amp;$X25&amp;" 25DP VOL LME Comdty","PX_LAST")/100</f>
        <v>0.21709531784057617</v>
      </c>
      <c r="AF25" s="30">
        <f ca="1">_xll.BDP(AD$1&amp;" "&amp;$X25&amp;" 50D VOL LME Comdty","PX_LAST")/100</f>
        <v>0.19900075912475587</v>
      </c>
      <c r="AG25" s="29">
        <f ca="1">_xll.BDP(AD$1&amp;" "&amp;$X25&amp;" 25DC VOL LME Comdty","PX_LAST")/100</f>
        <v>0.20259714126586914</v>
      </c>
      <c r="AH25" s="31">
        <f ca="1">_xll.BDP(AD$1&amp;" "&amp;$X25&amp;" 10DC VOL LME Comdty","PX_LAST")/100</f>
        <v>0.20629755020141602</v>
      </c>
      <c r="AI25" s="11">
        <f ca="1">_xll.BDP(AI$5&amp;" "&amp;$X25&amp;" 50D VOL LME Comdty","PX_LAST")/100</f>
        <v>0.23950126647949219</v>
      </c>
      <c r="AJ25" s="11">
        <f ca="1">_xll.BDP(AJ$5&amp;" "&amp;$X25&amp;" 50D VOL LME Comdty","PX_LAST")/100</f>
        <v>0.29879856109619141</v>
      </c>
      <c r="AL25" s="11"/>
      <c r="AR25" s="1"/>
      <c r="AS25" s="1">
        <f ca="1"/>
        <v>43458</v>
      </c>
      <c r="AT25" s="84">
        <f ca="1"/>
        <v>1898.5</v>
      </c>
      <c r="AU25" s="84">
        <f ca="1">_xll.QCurves_DisplayFixingDictionary(AM$6,$AS25)</f>
        <v>5931.5</v>
      </c>
      <c r="AV25" s="84">
        <f ca="1">_xll.QCurves_DisplayFixingDictionary(AN$6,$AS25)</f>
        <v>2536</v>
      </c>
      <c r="AW25" s="84">
        <f ca="1">_xll.QCurves_DisplayFixingDictionary(AO$6,$AS25)</f>
        <v>10800</v>
      </c>
      <c r="AX25" s="84">
        <f ca="1">_xll.QCurves_DisplayFixingDictionary(AP$6,$AS25)</f>
        <v>14.6007</v>
      </c>
      <c r="AY25" s="84">
        <f ca="1">_xll.QCurves_DisplayFixingDictionary(AQ$6,$AS25)</f>
        <v>1261.25</v>
      </c>
    </row>
    <row r="26" spans="1:51" x14ac:dyDescent="0.25">
      <c r="A26" t="str">
        <f ca="1">IF(D26=m3Date,"03",_xll.QDates_GetMonthCodeAndYear(D26,2))</f>
        <v>Q20</v>
      </c>
      <c r="B26" t="str">
        <f t="shared" ca="1" si="4"/>
        <v>S 03Q20</v>
      </c>
      <c r="D26" s="1">
        <f ca="1">_xll.QDates_NextLMECurveDate(D25,m3Date,FALSE)</f>
        <v>44062</v>
      </c>
      <c r="E26" s="43">
        <f ca="1">_xll.QUtils_ErrorReplace(IF($B26="S 0303",0,_xll.BDP("LM"&amp;E$5&amp;"D"&amp;$B26&amp;" Comdty","PX_SETTLE")),0)</f>
        <v>-109.5</v>
      </c>
      <c r="F26" s="44"/>
      <c r="G26" s="45">
        <f ca="1"/>
        <v>-109.5</v>
      </c>
      <c r="H26" s="43">
        <f ca="1">_xll.QUtils_ErrorReplace(IF($B26="S 0303",0,_xll.BDP("LM"&amp;H$5&amp;"D"&amp;$B26&amp;" Comdty","PX_SETTLE")),0)</f>
        <v>-45</v>
      </c>
      <c r="I26" s="44"/>
      <c r="J26" s="45">
        <f ca="1"/>
        <v>-45</v>
      </c>
      <c r="K26" s="43">
        <f ca="1">_xll.QUtils_ErrorReplace(IF($B26="S 0303",0,_xll.BDP("LM"&amp;K$5&amp;"D"&amp;$B26&amp;" Comdty","PX_SETTLE")),0)</f>
        <v>151.5</v>
      </c>
      <c r="L26" s="44"/>
      <c r="M26" s="45">
        <f ca="1"/>
        <v>151.5</v>
      </c>
      <c r="N26" s="43">
        <f ca="1">_xll.QUtils_ErrorReplace(IF($B26="S 0303",0,_xll.BDP("LM"&amp;N$5&amp;"D"&amp;$B26&amp;" Comdty","PX_SETTLE")),0)</f>
        <v>-392</v>
      </c>
      <c r="O26" s="6"/>
      <c r="P26" s="7">
        <f ca="1"/>
        <v>-392</v>
      </c>
      <c r="Q26" s="33">
        <f t="shared" ca="1" si="0"/>
        <v>1982.5</v>
      </c>
      <c r="R26" s="34">
        <f t="shared" ca="1" si="1"/>
        <v>6084.5</v>
      </c>
      <c r="S26" s="6">
        <f t="shared" ca="1" si="2"/>
        <v>2428.5</v>
      </c>
      <c r="T26" s="7">
        <f t="shared" ca="1" si="3"/>
        <v>12112</v>
      </c>
      <c r="W26" s="1">
        <f ca="1">_xll.QDates_SpecificWeekday(EDATE(W25,1),"Wednesday",1)</f>
        <v>44111</v>
      </c>
      <c r="X26" t="str">
        <f t="shared" ca="1" si="5"/>
        <v>OCT20</v>
      </c>
      <c r="Y26" s="19">
        <f ca="1">_xll.BDP(Y$1&amp;" "&amp;$X26&amp;" 10DP VOL LME Comdty","PX_LAST")/100</f>
        <v>0.19439617156982422</v>
      </c>
      <c r="Z26" s="20">
        <f ca="1">_xll.BDP(Y$1&amp;" "&amp;$X26&amp;" 25DP VOL LME Comdty","PX_LAST")/100</f>
        <v>0.18629806518554687</v>
      </c>
      <c r="AA26" s="25">
        <f ca="1">_xll.BDP(Y$1&amp;" "&amp;$X26&amp;" 50D VOL LME Comdty","PX_LAST")/100</f>
        <v>0.18239965438842773</v>
      </c>
      <c r="AB26" s="20">
        <f ca="1">_xll.BDP(Y$1&amp;" "&amp;$X26&amp;" 25DC VOL LME Comdty","PX_LAST")/100</f>
        <v>0.19089469909667969</v>
      </c>
      <c r="AC26" s="21">
        <f ca="1">_xll.BDP(Y$1&amp;" "&amp;$X26&amp;" 10DC VOL LME Comdty","PX_LAST")/100</f>
        <v>0.19899534225463866</v>
      </c>
      <c r="AD26" s="28">
        <f ca="1">_xll.BDP(AD$1&amp;" "&amp;$X26&amp;" 10DP VOL LME Comdty","PX_LAST")/100</f>
        <v>0.23359384536743164</v>
      </c>
      <c r="AE26" s="29">
        <f ca="1">_xll.BDP(AD$1&amp;" "&amp;$X26&amp;" 25DP VOL LME Comdty","PX_LAST")/100</f>
        <v>0.21749536514282228</v>
      </c>
      <c r="AF26" s="30">
        <f ca="1">_xll.BDP(AD$1&amp;" "&amp;$X26&amp;" 50D VOL LME Comdty","PX_LAST")/100</f>
        <v>0.19920080184936523</v>
      </c>
      <c r="AG26" s="29">
        <f ca="1">_xll.BDP(AD$1&amp;" "&amp;$X26&amp;" 25DC VOL LME Comdty","PX_LAST")/100</f>
        <v>0.20279720306396484</v>
      </c>
      <c r="AH26" s="31">
        <f ca="1">_xll.BDP(AD$1&amp;" "&amp;$X26&amp;" 10DC VOL LME Comdty","PX_LAST")/100</f>
        <v>0.20619768142700196</v>
      </c>
      <c r="AI26" s="11">
        <f ca="1">_xll.BDP(AI$5&amp;" "&amp;$X26&amp;" 50D VOL LME Comdty","PX_LAST")/100</f>
        <v>0.23940130233764648</v>
      </c>
      <c r="AJ26" s="11">
        <f ca="1">_xll.BDP(AJ$5&amp;" "&amp;$X26&amp;" 50D VOL LME Comdty","PX_LAST")/100</f>
        <v>0.29889852523803712</v>
      </c>
      <c r="AL26" s="1"/>
      <c r="AR26" s="1"/>
      <c r="AS26" s="1">
        <f ca="1"/>
        <v>43455</v>
      </c>
      <c r="AT26" s="84">
        <f ca="1"/>
        <v>1920</v>
      </c>
      <c r="AU26" s="84">
        <f ca="1">_xll.QCurves_DisplayFixingDictionary(AM$6,$AS26)</f>
        <v>5987</v>
      </c>
      <c r="AV26" s="84">
        <f ca="1">_xll.QCurves_DisplayFixingDictionary(AN$6,$AS26)</f>
        <v>2585</v>
      </c>
      <c r="AW26" s="84">
        <f ca="1">_xll.QCurves_DisplayFixingDictionary(AO$6,$AS26)</f>
        <v>10785</v>
      </c>
      <c r="AX26" s="84">
        <f ca="1">_xll.QCurves_DisplayFixingDictionary(AP$6,$AS26)</f>
        <v>14.4245</v>
      </c>
      <c r="AY26" s="84">
        <f ca="1">_xll.QCurves_DisplayFixingDictionary(AQ$6,$AS26)</f>
        <v>1257.5999999999999</v>
      </c>
    </row>
    <row r="27" spans="1:51" x14ac:dyDescent="0.25">
      <c r="A27" t="str">
        <f ca="1">IF(D27=m3Date,"03",_xll.QDates_GetMonthCodeAndYear(D27,2))</f>
        <v>U20</v>
      </c>
      <c r="B27" t="str">
        <f t="shared" ca="1" si="4"/>
        <v>S 03U20</v>
      </c>
      <c r="D27" s="1">
        <f ca="1">_xll.QDates_NextLMECurveDate(D26,m3Date,FALSE)</f>
        <v>44090</v>
      </c>
      <c r="E27" s="43">
        <f ca="1">_xll.QUtils_ErrorReplace(IF($B27="S 0303",0,_xll.BDP("LM"&amp;E$5&amp;"D"&amp;$B27&amp;" Comdty","PX_SETTLE")),0)</f>
        <v>-115</v>
      </c>
      <c r="F27" s="44"/>
      <c r="G27" s="45">
        <f ca="1"/>
        <v>-115</v>
      </c>
      <c r="H27" s="43">
        <f ca="1">_xll.QUtils_ErrorReplace(IF($B27="S 0303",0,_xll.BDP("LM"&amp;H$5&amp;"D"&amp;$B27&amp;" Comdty","PX_SETTLE")),0)</f>
        <v>-46.5</v>
      </c>
      <c r="I27" s="44"/>
      <c r="J27" s="45">
        <f ca="1"/>
        <v>-46.5</v>
      </c>
      <c r="K27" s="43">
        <f ca="1">_xll.QUtils_ErrorReplace(IF($B27="S 0303",0,_xll.BDP("LM"&amp;K$5&amp;"D"&amp;$B27&amp;" Comdty","PX_SETTLE")),0)</f>
        <v>161.5</v>
      </c>
      <c r="L27" s="44"/>
      <c r="M27" s="45">
        <f ca="1"/>
        <v>161.5</v>
      </c>
      <c r="N27" s="43">
        <f ca="1">_xll.QUtils_ErrorReplace(IF($B27="S 0303",0,_xll.BDP("LM"&amp;N$5&amp;"D"&amp;$B27&amp;" Comdty","PX_SETTLE")),0)</f>
        <v>-414</v>
      </c>
      <c r="O27" s="6"/>
      <c r="P27" s="7">
        <f ca="1"/>
        <v>-414</v>
      </c>
      <c r="Q27" s="33">
        <f t="shared" ca="1" si="0"/>
        <v>1988</v>
      </c>
      <c r="R27" s="34">
        <f t="shared" ca="1" si="1"/>
        <v>6086</v>
      </c>
      <c r="S27" s="6">
        <f t="shared" ca="1" si="2"/>
        <v>2418.5</v>
      </c>
      <c r="T27" s="7">
        <f t="shared" ca="1" si="3"/>
        <v>12134</v>
      </c>
      <c r="W27" s="1">
        <f ca="1">_xll.QDates_SpecificWeekday(EDATE(W26,1),"Wednesday",1)</f>
        <v>44139</v>
      </c>
      <c r="X27" t="str">
        <f t="shared" ca="1" si="5"/>
        <v>NOV20</v>
      </c>
      <c r="Y27" s="19">
        <f ca="1">_xll.BDP(Y$1&amp;" "&amp;$X27&amp;" 10DP VOL LME Comdty","PX_LAST")/100</f>
        <v>0.19449617385864257</v>
      </c>
      <c r="Z27" s="20">
        <f ca="1">_xll.BDP(Y$1&amp;" "&amp;$X27&amp;" 25DP VOL LME Comdty","PX_LAST")/100</f>
        <v>0.18649805068969727</v>
      </c>
      <c r="AA27" s="25">
        <f ca="1">_xll.BDP(Y$1&amp;" "&amp;$X27&amp;" 50D VOL LME Comdty","PX_LAST")/100</f>
        <v>0.18219968795776367</v>
      </c>
      <c r="AB27" s="20">
        <f ca="1">_xll.BDP(Y$1&amp;" "&amp;$X27&amp;" 25DC VOL LME Comdty","PX_LAST")/100</f>
        <v>0.19049474716186524</v>
      </c>
      <c r="AC27" s="21">
        <f ca="1">_xll.BDP(Y$1&amp;" "&amp;$X27&amp;" 10DC VOL LME Comdty","PX_LAST")/100</f>
        <v>0.19849536895751954</v>
      </c>
      <c r="AD27" s="28">
        <f ca="1">_xll.BDP(AD$1&amp;" "&amp;$X27&amp;" 10DP VOL LME Comdty","PX_LAST")/100</f>
        <v>0.23429384231567382</v>
      </c>
      <c r="AE27" s="29">
        <f ca="1">_xll.BDP(AD$1&amp;" "&amp;$X27&amp;" 25DP VOL LME Comdty","PX_LAST")/100</f>
        <v>0.21789539337158204</v>
      </c>
      <c r="AF27" s="30">
        <f ca="1">_xll.BDP(AD$1&amp;" "&amp;$X27&amp;" 50D VOL LME Comdty","PX_LAST")/100</f>
        <v>0.19950082778930664</v>
      </c>
      <c r="AG27" s="29">
        <f ca="1">_xll.BDP(AD$1&amp;" "&amp;$X27&amp;" 25DC VOL LME Comdty","PX_LAST")/100</f>
        <v>0.20309722900390625</v>
      </c>
      <c r="AH27" s="31">
        <f ca="1">_xll.BDP(AD$1&amp;" "&amp;$X27&amp;" 10DC VOL LME Comdty","PX_LAST")/100</f>
        <v>0.20649776458740235</v>
      </c>
      <c r="AI27" s="11">
        <f ca="1">_xll.BDP(AI$5&amp;" "&amp;$X27&amp;" 50D VOL LME Comdty","PX_LAST")/100</f>
        <v>0.23930131912231445</v>
      </c>
      <c r="AJ27" s="11">
        <f ca="1">_xll.BDP(AJ$5&amp;" "&amp;$X27&amp;" 50D VOL LME Comdty","PX_LAST")/100</f>
        <v>0.29909849166870117</v>
      </c>
      <c r="AL27" s="1"/>
      <c r="AR27" s="1"/>
      <c r="AS27" s="1">
        <f ca="1"/>
        <v>43454</v>
      </c>
      <c r="AT27" s="84">
        <f ca="1"/>
        <v>1923.5</v>
      </c>
      <c r="AU27" s="84">
        <f ca="1">_xll.QCurves_DisplayFixingDictionary(AM$6,$AS27)</f>
        <v>6015</v>
      </c>
      <c r="AV27" s="84">
        <f ca="1">_xll.QCurves_DisplayFixingDictionary(AN$6,$AS27)</f>
        <v>2600</v>
      </c>
      <c r="AW27" s="84">
        <f ca="1">_xll.QCurves_DisplayFixingDictionary(AO$6,$AS27)</f>
        <v>10885</v>
      </c>
      <c r="AX27" s="84">
        <f ca="1">_xll.QCurves_DisplayFixingDictionary(AP$6,$AS27)</f>
        <v>14.2079</v>
      </c>
      <c r="AY27" s="84">
        <f ca="1">_xll.QCurves_DisplayFixingDictionary(AQ$6,$AS27)</f>
        <v>1255</v>
      </c>
    </row>
    <row r="28" spans="1:51" x14ac:dyDescent="0.25">
      <c r="A28" t="str">
        <f ca="1">IF(D28=m3Date,"03",_xll.QDates_GetMonthCodeAndYear(D28,2))</f>
        <v>V20</v>
      </c>
      <c r="B28" t="str">
        <f t="shared" ca="1" si="4"/>
        <v>S 03V20</v>
      </c>
      <c r="D28" s="1">
        <f ca="1">_xll.QDates_NextLMECurveDate(D27,m3Date,FALSE)</f>
        <v>44125</v>
      </c>
      <c r="E28" s="43">
        <f ca="1">_xll.QUtils_ErrorReplace(IF($B28="S 0303",0,_xll.BDP("LM"&amp;E$5&amp;"D"&amp;$B28&amp;" Comdty","PX_SETTLE")),0)</f>
        <v>-123.5</v>
      </c>
      <c r="F28" s="44"/>
      <c r="G28" s="45">
        <f ca="1"/>
        <v>-123.5</v>
      </c>
      <c r="H28" s="43">
        <f ca="1">_xll.QUtils_ErrorReplace(IF($B28="S 0303",0,_xll.BDP("LM"&amp;H$5&amp;"D"&amp;$B28&amp;" Comdty","PX_SETTLE")),0)</f>
        <v>-48</v>
      </c>
      <c r="I28" s="44"/>
      <c r="J28" s="45">
        <f ca="1"/>
        <v>-48</v>
      </c>
      <c r="K28" s="43">
        <f ca="1">_xll.QUtils_ErrorReplace(IF($B28="S 0303",0,_xll.BDP("LM"&amp;K$5&amp;"D"&amp;$B28&amp;" Comdty","PX_SETTLE")),0)</f>
        <v>171.5</v>
      </c>
      <c r="L28" s="44"/>
      <c r="M28" s="45">
        <f ca="1"/>
        <v>171.5</v>
      </c>
      <c r="N28" s="43">
        <f ca="1">_xll.QUtils_ErrorReplace(IF($B28="S 0303",0,_xll.BDP("LM"&amp;N$5&amp;"D"&amp;$B28&amp;" Comdty","PX_SETTLE")),0)</f>
        <v>-436</v>
      </c>
      <c r="O28" s="6"/>
      <c r="P28" s="7">
        <f ca="1"/>
        <v>-436</v>
      </c>
      <c r="Q28" s="33">
        <f t="shared" ca="1" si="0"/>
        <v>1996.5</v>
      </c>
      <c r="R28" s="34">
        <f t="shared" ca="1" si="1"/>
        <v>6087.5</v>
      </c>
      <c r="S28" s="6">
        <f t="shared" ca="1" si="2"/>
        <v>2408.5</v>
      </c>
      <c r="T28" s="7">
        <f t="shared" ca="1" si="3"/>
        <v>12156</v>
      </c>
      <c r="W28" s="1">
        <f ca="1">_xll.QDates_SpecificWeekday(EDATE(W27,1),"Wednesday",1)</f>
        <v>44167</v>
      </c>
      <c r="X28" t="str">
        <f t="shared" ca="1" si="5"/>
        <v>DEC20</v>
      </c>
      <c r="Y28" s="19">
        <f ca="1">_xll.BDP(Y$1&amp;" "&amp;$X28&amp;" 10DP VOL LME Comdty","PX_LAST")/100</f>
        <v>0.19459617614746094</v>
      </c>
      <c r="Z28" s="20">
        <f ca="1">_xll.BDP(Y$1&amp;" "&amp;$X28&amp;" 25DP VOL LME Comdty","PX_LAST")/100</f>
        <v>0.1863980484008789</v>
      </c>
      <c r="AA28" s="25">
        <f ca="1">_xll.BDP(Y$1&amp;" "&amp;$X28&amp;" 50D VOL LME Comdty","PX_LAST")/100</f>
        <v>0.18199970245361327</v>
      </c>
      <c r="AB28" s="20">
        <f ca="1">_xll.BDP(Y$1&amp;" "&amp;$X28&amp;" 25DC VOL LME Comdty","PX_LAST")/100</f>
        <v>0.19019475936889649</v>
      </c>
      <c r="AC28" s="21">
        <f ca="1">_xll.BDP(Y$1&amp;" "&amp;$X28&amp;" 10DC VOL LME Comdty","PX_LAST")/100</f>
        <v>0.19819543838500978</v>
      </c>
      <c r="AD28" s="28">
        <f ca="1">_xll.BDP(AD$1&amp;" "&amp;$X28&amp;" 10DP VOL LME Comdty","PX_LAST")/100</f>
        <v>0.2350938606262207</v>
      </c>
      <c r="AE28" s="29">
        <f ca="1">_xll.BDP(AD$1&amp;" "&amp;$X28&amp;" 25DP VOL LME Comdty","PX_LAST")/100</f>
        <v>0.21859539031982422</v>
      </c>
      <c r="AF28" s="30">
        <f ca="1">_xll.BDP(AD$1&amp;" "&amp;$X28&amp;" 50D VOL LME Comdty","PX_LAST")/100</f>
        <v>0.19970083236694336</v>
      </c>
      <c r="AG28" s="29">
        <f ca="1">_xll.BDP(AD$1&amp;" "&amp;$X28&amp;" 25DC VOL LME Comdty","PX_LAST")/100</f>
        <v>0.203397216796875</v>
      </c>
      <c r="AH28" s="31">
        <f ca="1">_xll.BDP(AD$1&amp;" "&amp;$X28&amp;" 10DC VOL LME Comdty","PX_LAST")/100</f>
        <v>0.20659780502319336</v>
      </c>
      <c r="AI28" s="11">
        <f ca="1">_xll.BDP(AI$5&amp;" "&amp;$X28&amp;" 50D VOL LME Comdty","PX_LAST")/100</f>
        <v>0.23930135726928711</v>
      </c>
      <c r="AJ28" s="11">
        <f ca="1">_xll.BDP(AJ$5&amp;" "&amp;$X28&amp;" 50D VOL LME Comdty","PX_LAST")/100</f>
        <v>0.29949846267700198</v>
      </c>
      <c r="AL28" s="1"/>
      <c r="AR28" s="1"/>
      <c r="AS28" s="1">
        <f ca="1"/>
        <v>43453</v>
      </c>
      <c r="AT28" s="84">
        <f ca="1"/>
        <v>1928</v>
      </c>
      <c r="AU28" s="84">
        <f ca="1">_xll.QCurves_DisplayFixingDictionary(AM$6,$AS28)</f>
        <v>5987</v>
      </c>
      <c r="AV28" s="84">
        <f ca="1">_xll.QCurves_DisplayFixingDictionary(AN$6,$AS28)</f>
        <v>2596</v>
      </c>
      <c r="AW28" s="84">
        <f ca="1">_xll.QCurves_DisplayFixingDictionary(AO$6,$AS28)</f>
        <v>10775</v>
      </c>
      <c r="AX28" s="84">
        <f ca="1">_xll.QCurves_DisplayFixingDictionary(AP$6,$AS28)</f>
        <v>14.267799999999999</v>
      </c>
      <c r="AY28" s="84">
        <f ca="1">_xll.QCurves_DisplayFixingDictionary(AQ$6,$AS28)</f>
        <v>1248.5999999999999</v>
      </c>
    </row>
    <row r="29" spans="1:51" x14ac:dyDescent="0.25">
      <c r="A29" t="str">
        <f ca="1">IF(D29=m3Date,"03",_xll.QDates_GetMonthCodeAndYear(D29,2))</f>
        <v>X20</v>
      </c>
      <c r="B29" t="str">
        <f t="shared" ca="1" si="4"/>
        <v>S 03X20</v>
      </c>
      <c r="D29" s="1">
        <f ca="1">_xll.QDates_NextLMECurveDate(D28,m3Date,FALSE)</f>
        <v>44153</v>
      </c>
      <c r="E29" s="43">
        <f ca="1">_xll.QUtils_ErrorReplace(IF($B29="S 0303",0,_xll.BDP("LM"&amp;E$5&amp;"D"&amp;$B29&amp;" Comdty","PX_SETTLE")),0)</f>
        <v>-130.5</v>
      </c>
      <c r="F29" s="44"/>
      <c r="G29" s="45">
        <f ca="1"/>
        <v>-130.5</v>
      </c>
      <c r="H29" s="43">
        <f ca="1">_xll.QUtils_ErrorReplace(IF($B29="S 0303",0,_xll.BDP("LM"&amp;H$5&amp;"D"&amp;$B29&amp;" Comdty","PX_SETTLE")),0)</f>
        <v>-49.5</v>
      </c>
      <c r="I29" s="44"/>
      <c r="J29" s="45">
        <f ca="1"/>
        <v>-49.5</v>
      </c>
      <c r="K29" s="43">
        <f ca="1">_xll.QUtils_ErrorReplace(IF($B29="S 0303",0,_xll.BDP("LM"&amp;K$5&amp;"D"&amp;$B29&amp;" Comdty","PX_SETTLE")),0)</f>
        <v>181.5</v>
      </c>
      <c r="L29" s="44"/>
      <c r="M29" s="45">
        <f ca="1"/>
        <v>181.5</v>
      </c>
      <c r="N29" s="43">
        <f ca="1">_xll.QUtils_ErrorReplace(IF($B29="S 0303",0,_xll.BDP("LM"&amp;N$5&amp;"D"&amp;$B29&amp;" Comdty","PX_SETTLE")),0)</f>
        <v>-458</v>
      </c>
      <c r="O29" s="6"/>
      <c r="P29" s="7">
        <f ca="1"/>
        <v>-458</v>
      </c>
      <c r="Q29" s="33">
        <f t="shared" ca="1" si="0"/>
        <v>2003.5</v>
      </c>
      <c r="R29" s="34">
        <f t="shared" ca="1" si="1"/>
        <v>6089</v>
      </c>
      <c r="S29" s="6">
        <f t="shared" ca="1" si="2"/>
        <v>2398.5</v>
      </c>
      <c r="T29" s="7">
        <f t="shared" ca="1" si="3"/>
        <v>12178</v>
      </c>
      <c r="W29" s="1">
        <f ca="1">_xll.QDates_SpecificWeekday(EDATE(W28,1),"Wednesday",1)</f>
        <v>44202</v>
      </c>
      <c r="X29" t="str">
        <f t="shared" ca="1" si="5"/>
        <v>JAN21</v>
      </c>
      <c r="Y29" s="19">
        <f ca="1">_xll.BDP(Y$1&amp;" "&amp;$X29&amp;" 10DP VOL LME Comdty","PX_LAST")/100</f>
        <v>0.19429615020751953</v>
      </c>
      <c r="Z29" s="20">
        <f ca="1">_xll.BDP(Y$1&amp;" "&amp;$X29&amp;" 25DP VOL LME Comdty","PX_LAST")/100</f>
        <v>0.18619804382324218</v>
      </c>
      <c r="AA29" s="25">
        <f ca="1">_xll.BDP(Y$1&amp;" "&amp;$X29&amp;" 50D VOL LME Comdty","PX_LAST")/100</f>
        <v>0.18159971237182618</v>
      </c>
      <c r="AB29" s="20">
        <f ca="1">_xll.BDP(Y$1&amp;" "&amp;$X29&amp;" 25DC VOL LME Comdty","PX_LAST")/100</f>
        <v>0.18959487915039064</v>
      </c>
      <c r="AC29" s="21">
        <f ca="1">_xll.BDP(Y$1&amp;" "&amp;$X29&amp;" 10DC VOL LME Comdty","PX_LAST")/100</f>
        <v>0.19719549179077148</v>
      </c>
      <c r="AD29" s="28">
        <f ca="1">_xll.BDP(AD$1&amp;" "&amp;$X29&amp;" 10DP VOL LME Comdty","PX_LAST")/100</f>
        <v>0.23519390106201171</v>
      </c>
      <c r="AE29" s="29">
        <f ca="1">_xll.BDP(AD$1&amp;" "&amp;$X29&amp;" 25DP VOL LME Comdty","PX_LAST")/100</f>
        <v>0.21859542846679689</v>
      </c>
      <c r="AF29" s="30">
        <f ca="1">_xll.BDP(AD$1&amp;" "&amp;$X29&amp;" 50D VOL LME Comdty","PX_LAST")/100</f>
        <v>0.19960084915161133</v>
      </c>
      <c r="AG29" s="29">
        <f ca="1">_xll.BDP(AD$1&amp;" "&amp;$X29&amp;" 25DC VOL LME Comdty","PX_LAST")/100</f>
        <v>0.20329721450805663</v>
      </c>
      <c r="AH29" s="31">
        <f ca="1">_xll.BDP(AD$1&amp;" "&amp;$X29&amp;" 10DC VOL LME Comdty","PX_LAST")/100</f>
        <v>0.20649787902832031</v>
      </c>
      <c r="AI29" s="11">
        <f ca="1">_xll.BDP(AI$5&amp;" "&amp;$X29&amp;" 50D VOL LME Comdty","PX_LAST")/100</f>
        <v>0.23920137405395508</v>
      </c>
      <c r="AJ29" s="11">
        <f ca="1">_xll.BDP(AJ$5&amp;" "&amp;$X29&amp;" 50D VOL LME Comdty","PX_LAST")/100</f>
        <v>0.29939842224121094</v>
      </c>
      <c r="AL29" s="1"/>
      <c r="AR29" s="1"/>
      <c r="AS29" s="1">
        <f ca="1"/>
        <v>43452</v>
      </c>
      <c r="AT29" s="84">
        <f ca="1"/>
        <v>1940</v>
      </c>
      <c r="AU29" s="84">
        <f ca="1">_xll.QCurves_DisplayFixingDictionary(AM$6,$AS29)</f>
        <v>6043</v>
      </c>
      <c r="AV29" s="84">
        <f ca="1">_xll.QCurves_DisplayFixingDictionary(AN$6,$AS29)</f>
        <v>2600</v>
      </c>
      <c r="AW29" s="84">
        <f ca="1">_xll.QCurves_DisplayFixingDictionary(AO$6,$AS29)</f>
        <v>10885</v>
      </c>
      <c r="AX29" s="84">
        <f ca="1">_xll.QCurves_DisplayFixingDictionary(AP$6,$AS29)</f>
        <v>14.318</v>
      </c>
      <c r="AY29" s="84">
        <f ca="1">_xll.QCurves_DisplayFixingDictionary(AQ$6,$AS29)</f>
        <v>1248.8</v>
      </c>
    </row>
    <row r="30" spans="1:51" x14ac:dyDescent="0.25">
      <c r="A30" t="str">
        <f ca="1">IF(D30=m3Date,"03",_xll.QDates_GetMonthCodeAndYear(D30,2))</f>
        <v>Z20</v>
      </c>
      <c r="B30" t="str">
        <f t="shared" ca="1" si="4"/>
        <v>S 03Z20</v>
      </c>
      <c r="D30" s="1">
        <f ca="1">_xll.QDates_NextLMECurveDate(D29,m3Date,FALSE)</f>
        <v>44181</v>
      </c>
      <c r="E30" s="43">
        <f ca="1">_xll.QUtils_ErrorReplace(IF($B30="S 0303",0,_xll.BDP("LM"&amp;E$5&amp;"D"&amp;$B30&amp;" Comdty","PX_SETTLE")),0)</f>
        <v>-136</v>
      </c>
      <c r="F30" s="44"/>
      <c r="G30" s="45">
        <f ca="1"/>
        <v>-136</v>
      </c>
      <c r="H30" s="43">
        <f ca="1">_xll.QUtils_ErrorReplace(IF($B30="S 0303",0,_xll.BDP("LM"&amp;H$5&amp;"D"&amp;$B30&amp;" Comdty","PX_SETTLE")),0)</f>
        <v>-51</v>
      </c>
      <c r="I30" s="44"/>
      <c r="J30" s="45">
        <f ca="1"/>
        <v>-51</v>
      </c>
      <c r="K30" s="43">
        <f ca="1">_xll.QUtils_ErrorReplace(IF($B30="S 0303",0,_xll.BDP("LM"&amp;K$5&amp;"D"&amp;$B30&amp;" Comdty","PX_SETTLE")),0)</f>
        <v>191.5</v>
      </c>
      <c r="L30" s="44"/>
      <c r="M30" s="45">
        <f ca="1"/>
        <v>191.5</v>
      </c>
      <c r="N30" s="43">
        <f ca="1">_xll.QUtils_ErrorReplace(IF($B30="S 0303",0,_xll.BDP("LM"&amp;N$5&amp;"D"&amp;$B30&amp;" Comdty","PX_SETTLE")),0)</f>
        <v>-480</v>
      </c>
      <c r="O30" s="6"/>
      <c r="P30" s="7">
        <f ca="1"/>
        <v>-480</v>
      </c>
      <c r="Q30" s="33">
        <f t="shared" ca="1" si="0"/>
        <v>2009</v>
      </c>
      <c r="R30" s="34">
        <f t="shared" ca="1" si="1"/>
        <v>6090.5</v>
      </c>
      <c r="S30" s="6">
        <f t="shared" ca="1" si="2"/>
        <v>2388.5</v>
      </c>
      <c r="T30" s="7">
        <f t="shared" ca="1" si="3"/>
        <v>12200</v>
      </c>
      <c r="W30" s="1">
        <f ca="1">_xll.QDates_SpecificWeekday(EDATE(W29,1),"Wednesday",1)</f>
        <v>44230</v>
      </c>
      <c r="X30" t="str">
        <f t="shared" ca="1" si="5"/>
        <v>FEB21</v>
      </c>
      <c r="Y30" s="19">
        <f ca="1">_xll.BDP(Y$1&amp;" "&amp;$X30&amp;" 10DP VOL LME Comdty","PX_LAST")/100</f>
        <v>0.19449611663818359</v>
      </c>
      <c r="Z30" s="20">
        <f ca="1">_xll.BDP(Y$1&amp;" "&amp;$X30&amp;" 25DP VOL LME Comdty","PX_LAST")/100</f>
        <v>0.1859980583190918</v>
      </c>
      <c r="AA30" s="25">
        <f ca="1">_xll.BDP(Y$1&amp;" "&amp;$X30&amp;" 50D VOL LME Comdty","PX_LAST")/100</f>
        <v>0.1814997100830078</v>
      </c>
      <c r="AB30" s="20">
        <f ca="1">_xll.BDP(Y$1&amp;" "&amp;$X30&amp;" 25DC VOL LME Comdty","PX_LAST")/100</f>
        <v>0.18929489135742186</v>
      </c>
      <c r="AC30" s="21">
        <f ca="1">_xll.BDP(Y$1&amp;" "&amp;$X30&amp;" 10DC VOL LME Comdty","PX_LAST")/100</f>
        <v>0.1969955062866211</v>
      </c>
      <c r="AD30" s="28">
        <f ca="1">_xll.BDP(AD$1&amp;" "&amp;$X30&amp;" 10DP VOL LME Comdty","PX_LAST")/100</f>
        <v>0.2353939437866211</v>
      </c>
      <c r="AE30" s="29">
        <f ca="1">_xll.BDP(AD$1&amp;" "&amp;$X30&amp;" 25DP VOL LME Comdty","PX_LAST")/100</f>
        <v>0.21869548797607422</v>
      </c>
      <c r="AF30" s="30">
        <f ca="1">_xll.BDP(AD$1&amp;" "&amp;$X30&amp;" 50D VOL LME Comdty","PX_LAST")/100</f>
        <v>0.19970087051391602</v>
      </c>
      <c r="AG30" s="29">
        <f ca="1">_xll.BDP(AD$1&amp;" "&amp;$X30&amp;" 25DC VOL LME Comdty","PX_LAST")/100</f>
        <v>0.20339723587036132</v>
      </c>
      <c r="AH30" s="31">
        <f ca="1">_xll.BDP(AD$1&amp;" "&amp;$X30&amp;" 10DC VOL LME Comdty","PX_LAST")/100</f>
        <v>0.20659793853759767</v>
      </c>
      <c r="AI30" s="11">
        <f ca="1">_xll.BDP(AI$5&amp;" "&amp;$X30&amp;" 50D VOL LME Comdty","PX_LAST")/100</f>
        <v>0.23950143814086913</v>
      </c>
      <c r="AJ30" s="11">
        <f ca="1">_xll.BDP(AJ$5&amp;" "&amp;$X30&amp;" 50D VOL LME Comdty","PX_LAST")/100</f>
        <v>0.2993983840942383</v>
      </c>
      <c r="AL30" s="1"/>
      <c r="AR30" s="1"/>
      <c r="AS30" s="1">
        <f ca="1"/>
        <v>43451</v>
      </c>
      <c r="AT30" s="84">
        <f ca="1"/>
        <v>1937.5</v>
      </c>
      <c r="AU30" s="84">
        <f ca="1">_xll.QCurves_DisplayFixingDictionary(AM$6,$AS30)</f>
        <v>6095.5</v>
      </c>
      <c r="AV30" s="84">
        <f ca="1">_xll.QCurves_DisplayFixingDictionary(AN$6,$AS30)</f>
        <v>2580</v>
      </c>
      <c r="AW30" s="84">
        <f ca="1">_xll.QCurves_DisplayFixingDictionary(AO$6,$AS30)</f>
        <v>10935</v>
      </c>
      <c r="AX30" s="84">
        <f ca="1">_xll.QCurves_DisplayFixingDictionary(AP$6,$AS30)</f>
        <v>14.374000000000001</v>
      </c>
      <c r="AY30" s="84">
        <f ca="1">_xll.QCurves_DisplayFixingDictionary(AQ$6,$AS30)</f>
        <v>1239.0999999999999</v>
      </c>
    </row>
    <row r="31" spans="1:51" x14ac:dyDescent="0.25">
      <c r="A31" t="str">
        <f ca="1">IF(D31=m3Date,"03",_xll.QDates_GetMonthCodeAndYear(D31,2))</f>
        <v>F21</v>
      </c>
      <c r="B31" t="str">
        <f t="shared" ca="1" si="4"/>
        <v>S 03F21</v>
      </c>
      <c r="D31" s="1">
        <f ca="1">_xll.QDates_NextLMECurveDate(D30,m3Date,FALSE)</f>
        <v>44216</v>
      </c>
      <c r="E31" s="43">
        <f ca="1">_xll.QUtils_ErrorReplace(IF($B31="S 0303",0,_xll.BDP("LM"&amp;E$5&amp;"D"&amp;$B31&amp;" Comdty","PX_SETTLE")),0)</f>
        <v>-142.5</v>
      </c>
      <c r="F31" s="44"/>
      <c r="G31" s="45">
        <f ca="1"/>
        <v>-142.5</v>
      </c>
      <c r="H31" s="43">
        <f ca="1">_xll.QUtils_ErrorReplace(IF($B31="S 0303",0,_xll.BDP("LM"&amp;H$5&amp;"D"&amp;$B31&amp;" Comdty","PX_SETTLE")),0)</f>
        <v>-53</v>
      </c>
      <c r="I31" s="44"/>
      <c r="J31" s="45">
        <f ca="1"/>
        <v>-53</v>
      </c>
      <c r="K31" s="43">
        <f ca="1">_xll.QUtils_ErrorReplace(IF($B31="S 0303",0,_xll.BDP("LM"&amp;K$5&amp;"D"&amp;$B31&amp;" Comdty","PX_SETTLE")),0)</f>
        <v>200</v>
      </c>
      <c r="L31" s="44"/>
      <c r="M31" s="45">
        <f ca="1"/>
        <v>200</v>
      </c>
      <c r="N31" s="43">
        <f ca="1">_xll.QUtils_ErrorReplace(IF($B31="S 0303",0,_xll.BDP("LM"&amp;N$5&amp;"D"&amp;$B31&amp;" Comdty","PX_SETTLE")),0)</f>
        <v>-503</v>
      </c>
      <c r="O31" s="6"/>
      <c r="P31" s="7">
        <f ca="1"/>
        <v>-503</v>
      </c>
      <c r="Q31" s="33">
        <f t="shared" ca="1" si="0"/>
        <v>2015.5</v>
      </c>
      <c r="R31" s="34">
        <f t="shared" ca="1" si="1"/>
        <v>6092.5</v>
      </c>
      <c r="S31" s="6">
        <f t="shared" ca="1" si="2"/>
        <v>2380</v>
      </c>
      <c r="T31" s="7">
        <f t="shared" ca="1" si="3"/>
        <v>12223</v>
      </c>
      <c r="W31" s="1">
        <f ca="1">_xll.QDates_SpecificWeekday(EDATE(W30,1),"Wednesday",1)</f>
        <v>44258</v>
      </c>
      <c r="X31" t="str">
        <f t="shared" ca="1" si="5"/>
        <v>MAR21</v>
      </c>
      <c r="Y31" s="19">
        <f ca="1">_xll.BDP(Y$1&amp;" "&amp;$X31&amp;" 10DP VOL LME Comdty","PX_LAST")/100</f>
        <v>0.1945960807800293</v>
      </c>
      <c r="Z31" s="20">
        <f ca="1">_xll.BDP(Y$1&amp;" "&amp;$X31&amp;" 25DP VOL LME Comdty","PX_LAST")/100</f>
        <v>0.18609806060791015</v>
      </c>
      <c r="AA31" s="25">
        <f ca="1">_xll.BDP(Y$1&amp;" "&amp;$X31&amp;" 50D VOL LME Comdty","PX_LAST")/100</f>
        <v>0.18149972915649415</v>
      </c>
      <c r="AB31" s="20">
        <f ca="1">_xll.BDP(Y$1&amp;" "&amp;$X31&amp;" 25DC VOL LME Comdty","PX_LAST")/100</f>
        <v>0.18919488906860352</v>
      </c>
      <c r="AC31" s="21">
        <f ca="1">_xll.BDP(Y$1&amp;" "&amp;$X31&amp;" 10DC VOL LME Comdty","PX_LAST")/100</f>
        <v>0.19689550399780273</v>
      </c>
      <c r="AD31" s="28">
        <f ca="1">_xll.BDP(AD$1&amp;" "&amp;$X31&amp;" 10DP VOL LME Comdty","PX_LAST")/100</f>
        <v>0.23559404373168946</v>
      </c>
      <c r="AE31" s="29">
        <f ca="1">_xll.BDP(AD$1&amp;" "&amp;$X31&amp;" 25DP VOL LME Comdty","PX_LAST")/100</f>
        <v>0.21879550933837891</v>
      </c>
      <c r="AF31" s="30">
        <f ca="1">_xll.BDP(AD$1&amp;" "&amp;$X31&amp;" 50D VOL LME Comdty","PX_LAST")/100</f>
        <v>0.19970088958740234</v>
      </c>
      <c r="AG31" s="29">
        <f ca="1">_xll.BDP(AD$1&amp;" "&amp;$X31&amp;" 25DC VOL LME Comdty","PX_LAST")/100</f>
        <v>0.20349723815917969</v>
      </c>
      <c r="AH31" s="31">
        <f ca="1">_xll.BDP(AD$1&amp;" "&amp;$X31&amp;" 10DC VOL LME Comdty","PX_LAST")/100</f>
        <v>0.20659803390502929</v>
      </c>
      <c r="AI31" s="11">
        <f ca="1">_xll.BDP(AI$5&amp;" "&amp;$X31&amp;" 50D VOL LME Comdty","PX_LAST")/100</f>
        <v>0.23950145721435548</v>
      </c>
      <c r="AJ31" s="11">
        <f ca="1">_xll.BDP(AJ$5&amp;" "&amp;$X31&amp;" 50D VOL LME Comdty","PX_LAST")/100</f>
        <v>0.29959833145141601</v>
      </c>
      <c r="AL31" s="1"/>
      <c r="AR31" s="1"/>
      <c r="AS31" s="1">
        <f ca="1"/>
        <v>43448</v>
      </c>
      <c r="AT31" s="84">
        <f ca="1"/>
        <v>1908</v>
      </c>
      <c r="AU31" s="84">
        <f ca="1">_xll.QCurves_DisplayFixingDictionary(AM$6,$AS31)</f>
        <v>6104</v>
      </c>
      <c r="AV31" s="84">
        <f ca="1">_xll.QCurves_DisplayFixingDictionary(AN$6,$AS31)</f>
        <v>2560</v>
      </c>
      <c r="AW31" s="84">
        <f ca="1">_xll.QCurves_DisplayFixingDictionary(AO$6,$AS31)</f>
        <v>10740</v>
      </c>
      <c r="AX31" s="84">
        <f ca="1">_xll.QCurves_DisplayFixingDictionary(AP$6,$AS31)</f>
        <v>14.3612</v>
      </c>
      <c r="AY31" s="84">
        <f ca="1">_xll.QCurves_DisplayFixingDictionary(AQ$6,$AS31)</f>
        <v>1239.1500000000001</v>
      </c>
    </row>
    <row r="32" spans="1:51" x14ac:dyDescent="0.25">
      <c r="A32" t="str">
        <f ca="1">IF(D32=m3Date,"03",_xll.QDates_GetMonthCodeAndYear(D32,2))</f>
        <v>G21</v>
      </c>
      <c r="B32" t="str">
        <f t="shared" ca="1" si="4"/>
        <v>S 03G21</v>
      </c>
      <c r="D32" s="1">
        <f ca="1">_xll.QDates_NextLMECurveDate(D31,m3Date,FALSE)</f>
        <v>44244</v>
      </c>
      <c r="E32" s="43">
        <f ca="1">_xll.QUtils_ErrorReplace(IF($B32="S 0303",0,_xll.BDP("LM"&amp;E$5&amp;"D"&amp;$B32&amp;" Comdty","PX_SETTLE")),0)</f>
        <v>-148.5</v>
      </c>
      <c r="F32" s="44"/>
      <c r="G32" s="45">
        <f ca="1"/>
        <v>-148.5</v>
      </c>
      <c r="H32" s="43">
        <f ca="1">_xll.QUtils_ErrorReplace(IF($B32="S 0303",0,_xll.BDP("LM"&amp;H$5&amp;"D"&amp;$B32&amp;" Comdty","PX_SETTLE")),0)</f>
        <v>-55</v>
      </c>
      <c r="I32" s="44"/>
      <c r="J32" s="45">
        <f ca="1"/>
        <v>-55</v>
      </c>
      <c r="K32" s="43">
        <f ca="1">_xll.QUtils_ErrorReplace(IF($B32="S 0303",0,_xll.BDP("LM"&amp;K$5&amp;"D"&amp;$B32&amp;" Comdty","PX_SETTLE")),0)</f>
        <v>208.5</v>
      </c>
      <c r="L32" s="44"/>
      <c r="M32" s="45">
        <f ca="1"/>
        <v>208.5</v>
      </c>
      <c r="N32" s="43">
        <f ca="1">_xll.QUtils_ErrorReplace(IF($B32="S 0303",0,_xll.BDP("LM"&amp;N$5&amp;"D"&amp;$B32&amp;" Comdty","PX_SETTLE")),0)</f>
        <v>-526</v>
      </c>
      <c r="O32" s="6"/>
      <c r="P32" s="7">
        <f ca="1"/>
        <v>-526</v>
      </c>
      <c r="Q32" s="33">
        <f t="shared" ca="1" si="0"/>
        <v>2021.5</v>
      </c>
      <c r="R32" s="34">
        <f t="shared" ca="1" si="1"/>
        <v>6094.5</v>
      </c>
      <c r="S32" s="6">
        <f t="shared" ca="1" si="2"/>
        <v>2371.5</v>
      </c>
      <c r="T32" s="7">
        <f t="shared" ca="1" si="3"/>
        <v>12246</v>
      </c>
      <c r="W32" s="1">
        <f ca="1">_xll.QDates_SpecificWeekday(EDATE(W31,1),"Wednesday",1)</f>
        <v>44293</v>
      </c>
      <c r="X32" t="str">
        <f t="shared" ca="1" si="5"/>
        <v>APR21</v>
      </c>
      <c r="Y32" s="19">
        <f ca="1">_xll.BDP(Y$1&amp;" "&amp;$X32&amp;" 10DP VOL LME Comdty","PX_LAST")/100</f>
        <v>0.19449609756469727</v>
      </c>
      <c r="Z32" s="20">
        <f ca="1">_xll.BDP(Y$1&amp;" "&amp;$X32&amp;" 25DP VOL LME Comdty","PX_LAST")/100</f>
        <v>0.18589807510375977</v>
      </c>
      <c r="AA32" s="25">
        <f ca="1">_xll.BDP(Y$1&amp;" "&amp;$X32&amp;" 50D VOL LME Comdty","PX_LAST")/100</f>
        <v>0.1811997413635254</v>
      </c>
      <c r="AB32" s="20">
        <f ca="1">_xll.BDP(Y$1&amp;" "&amp;$X32&amp;" 25DC VOL LME Comdty","PX_LAST")/100</f>
        <v>0.1887948989868164</v>
      </c>
      <c r="AC32" s="21">
        <f ca="1">_xll.BDP(Y$1&amp;" "&amp;$X32&amp;" 10DC VOL LME Comdty","PX_LAST")/100</f>
        <v>0.19649551391601563</v>
      </c>
      <c r="AD32" s="28">
        <f ca="1">_xll.BDP(AD$1&amp;" "&amp;$X32&amp;" 10DP VOL LME Comdty","PX_LAST")/100</f>
        <v>0.23569427490234374</v>
      </c>
      <c r="AE32" s="29">
        <f ca="1">_xll.BDP(AD$1&amp;" "&amp;$X32&amp;" 25DP VOL LME Comdty","PX_LAST")/100</f>
        <v>0.21949554443359376</v>
      </c>
      <c r="AF32" s="30">
        <f ca="1">_xll.BDP(AD$1&amp;" "&amp;$X32&amp;" 50D VOL LME Comdty","PX_LAST")/100</f>
        <v>0.19920095443725586</v>
      </c>
      <c r="AG32" s="29">
        <f ca="1">_xll.BDP(AD$1&amp;" "&amp;$X32&amp;" 25DC VOL LME Comdty","PX_LAST")/100</f>
        <v>0.20329727172851564</v>
      </c>
      <c r="AH32" s="31">
        <f ca="1">_xll.BDP(AD$1&amp;" "&amp;$X32&amp;" 10DC VOL LME Comdty","PX_LAST")/100</f>
        <v>0.20589815139770506</v>
      </c>
      <c r="AI32" s="11">
        <f ca="1">_xll.BDP(AI$5&amp;" "&amp;$X32&amp;" 50D VOL LME Comdty","PX_LAST")/100</f>
        <v>0.23930147171020508</v>
      </c>
      <c r="AJ32" s="11">
        <f ca="1">_xll.BDP(AJ$5&amp;" "&amp;$X32&amp;" 50D VOL LME Comdty","PX_LAST")/100</f>
        <v>0.29879829406738279</v>
      </c>
      <c r="AL32" s="1"/>
      <c r="AR32" s="1"/>
      <c r="AS32" s="1">
        <f ca="1"/>
        <v>43447</v>
      </c>
      <c r="AT32" s="84">
        <f ca="1"/>
        <v>1924</v>
      </c>
      <c r="AU32" s="84">
        <f ca="1">_xll.QCurves_DisplayFixingDictionary(AM$6,$AS32)</f>
        <v>6196</v>
      </c>
      <c r="AV32" s="84">
        <f ca="1">_xll.QCurves_DisplayFixingDictionary(AN$6,$AS32)</f>
        <v>2685</v>
      </c>
      <c r="AW32" s="84">
        <f ca="1">_xll.QCurves_DisplayFixingDictionary(AO$6,$AS32)</f>
        <v>10800</v>
      </c>
      <c r="AX32" s="84">
        <f ca="1">_xll.QCurves_DisplayFixingDictionary(AP$6,$AS32)</f>
        <v>14.181699999999999</v>
      </c>
      <c r="AY32" s="84">
        <f ca="1">_xll.QCurves_DisplayFixingDictionary(AQ$6,$AS32)</f>
        <v>1244.45</v>
      </c>
    </row>
    <row r="33" spans="1:51" x14ac:dyDescent="0.25">
      <c r="A33" t="str">
        <f ca="1">IF(D33=m3Date,"03",_xll.QDates_GetMonthCodeAndYear(D33,2))</f>
        <v>H21</v>
      </c>
      <c r="B33" t="str">
        <f t="shared" ca="1" si="4"/>
        <v>S 03H21</v>
      </c>
      <c r="D33" s="1">
        <f ca="1">_xll.QDates_NextLMECurveDate(D32,m3Date,FALSE)</f>
        <v>44272</v>
      </c>
      <c r="E33" s="43">
        <f ca="1">_xll.QUtils_ErrorReplace(IF($B33="S 0303",0,_xll.BDP("LM"&amp;E$5&amp;"D"&amp;$B33&amp;" Comdty","PX_SETTLE")),0)</f>
        <v>-154.75</v>
      </c>
      <c r="F33" s="44"/>
      <c r="G33" s="45">
        <f ca="1"/>
        <v>-154.75</v>
      </c>
      <c r="H33" s="43">
        <f ca="1">_xll.QUtils_ErrorReplace(IF($B33="S 0303",0,_xll.BDP("LM"&amp;H$5&amp;"D"&amp;$B33&amp;" Comdty","PX_SETTLE")),0)</f>
        <v>-57</v>
      </c>
      <c r="I33" s="44"/>
      <c r="J33" s="45">
        <f ca="1"/>
        <v>-57</v>
      </c>
      <c r="K33" s="43">
        <f ca="1">_xll.QUtils_ErrorReplace(IF($B33="S 0303",0,_xll.BDP("LM"&amp;K$5&amp;"D"&amp;$B33&amp;" Comdty","PX_SETTLE")),0)</f>
        <v>217</v>
      </c>
      <c r="L33" s="44"/>
      <c r="M33" s="45">
        <f ca="1"/>
        <v>217</v>
      </c>
      <c r="N33" s="43">
        <f ca="1">_xll.QUtils_ErrorReplace(IF($B33="S 0303",0,_xll.BDP("LM"&amp;N$5&amp;"D"&amp;$B33&amp;" Comdty","PX_SETTLE")),0)</f>
        <v>-549</v>
      </c>
      <c r="O33" s="6"/>
      <c r="P33" s="7">
        <f ca="1"/>
        <v>-549</v>
      </c>
      <c r="Q33" s="33">
        <f t="shared" ca="1" si="0"/>
        <v>2027.75</v>
      </c>
      <c r="R33" s="34">
        <f t="shared" ca="1" si="1"/>
        <v>6096.5</v>
      </c>
      <c r="S33" s="6">
        <f t="shared" ca="1" si="2"/>
        <v>2363</v>
      </c>
      <c r="T33" s="7">
        <f t="shared" ca="1" si="3"/>
        <v>12269</v>
      </c>
      <c r="W33" s="1">
        <f ca="1">_xll.QDates_SpecificWeekday(EDATE(W32,1),"Wednesday",1)</f>
        <v>44321</v>
      </c>
      <c r="X33" t="str">
        <f t="shared" ca="1" si="5"/>
        <v>MAY21</v>
      </c>
      <c r="Y33" s="19">
        <f ca="1">_xll.BDP(Y$1&amp;" "&amp;$X33&amp;" 10DP VOL LME Comdty","PX_LAST")/100</f>
        <v>0.19449609756469727</v>
      </c>
      <c r="Z33" s="20">
        <f ca="1">_xll.BDP(Y$1&amp;" "&amp;$X33&amp;" 25DP VOL LME Comdty","PX_LAST")/100</f>
        <v>0.18589807510375977</v>
      </c>
      <c r="AA33" s="25">
        <f ca="1">_xll.BDP(Y$1&amp;" "&amp;$X33&amp;" 50D VOL LME Comdty","PX_LAST")/100</f>
        <v>0.18109973907470703</v>
      </c>
      <c r="AB33" s="20">
        <f ca="1">_xll.BDP(Y$1&amp;" "&amp;$X33&amp;" 25DC VOL LME Comdty","PX_LAST")/100</f>
        <v>0.18869487762451173</v>
      </c>
      <c r="AC33" s="21">
        <f ca="1">_xll.BDP(Y$1&amp;" "&amp;$X33&amp;" 10DC VOL LME Comdty","PX_LAST")/100</f>
        <v>0.19629550933837892</v>
      </c>
      <c r="AD33" s="28">
        <f ca="1">_xll.BDP(AD$1&amp;" "&amp;$X33&amp;" 10DP VOL LME Comdty","PX_LAST")/100</f>
        <v>0.23579427719116211</v>
      </c>
      <c r="AE33" s="29">
        <f ca="1">_xll.BDP(AD$1&amp;" "&amp;$X33&amp;" 25DP VOL LME Comdty","PX_LAST")/100</f>
        <v>0.21949560165405274</v>
      </c>
      <c r="AF33" s="30">
        <f ca="1">_xll.BDP(AD$1&amp;" "&amp;$X33&amp;" 50D VOL LME Comdty","PX_LAST")/100</f>
        <v>0.19920097351074217</v>
      </c>
      <c r="AG33" s="29">
        <f ca="1">_xll.BDP(AD$1&amp;" "&amp;$X33&amp;" 25DC VOL LME Comdty","PX_LAST")/100</f>
        <v>0.20329729080200196</v>
      </c>
      <c r="AH33" s="31">
        <f ca="1">_xll.BDP(AD$1&amp;" "&amp;$X33&amp;" 10DC VOL LME Comdty","PX_LAST")/100</f>
        <v>0.20589815139770506</v>
      </c>
      <c r="AI33" s="11">
        <f ca="1">AI32</f>
        <v>0.23930147171020508</v>
      </c>
      <c r="AJ33" s="11">
        <f ca="1">AJ32</f>
        <v>0.29879829406738279</v>
      </c>
      <c r="AL33" s="1"/>
      <c r="AR33" s="1"/>
      <c r="AS33" s="1">
        <f ca="1"/>
        <v>43446</v>
      </c>
      <c r="AT33" s="84">
        <f ca="1"/>
        <v>1928</v>
      </c>
      <c r="AU33" s="84">
        <f ca="1">_xll.QCurves_DisplayFixingDictionary(AM$6,$AS33)</f>
        <v>6151</v>
      </c>
      <c r="AV33" s="84">
        <f ca="1">_xll.QCurves_DisplayFixingDictionary(AN$6,$AS33)</f>
        <v>2664</v>
      </c>
      <c r="AW33" s="84">
        <f ca="1">_xll.QCurves_DisplayFixingDictionary(AO$6,$AS33)</f>
        <v>10720</v>
      </c>
      <c r="AX33" s="84">
        <f ca="1">_xll.QCurves_DisplayFixingDictionary(AP$6,$AS33)</f>
        <v>14.2354</v>
      </c>
      <c r="AY33" s="84">
        <f ca="1">_xll.QCurves_DisplayFixingDictionary(AQ$6,$AS33)</f>
        <v>1244.75</v>
      </c>
    </row>
    <row r="34" spans="1:51" x14ac:dyDescent="0.25">
      <c r="A34" t="str">
        <f ca="1">IF(D34=m3Date,"03",_xll.QDates_GetMonthCodeAndYear(D34,2))</f>
        <v>J21</v>
      </c>
      <c r="B34" t="str">
        <f t="shared" ca="1" si="4"/>
        <v>S 03J21</v>
      </c>
      <c r="D34" s="1">
        <f ca="1">_xll.QDates_NextLMECurveDate(D33,m3Date,FALSE)</f>
        <v>44307</v>
      </c>
      <c r="E34" s="43">
        <f ca="1">_xll.QUtils_ErrorReplace(IF($B34="S 0303",0,_xll.BDP("LM"&amp;E$5&amp;"D"&amp;$B34&amp;" Comdty","PX_SETTLE")),0)</f>
        <v>-162.25</v>
      </c>
      <c r="F34" s="44"/>
      <c r="G34" s="45">
        <f ca="1"/>
        <v>-162.25</v>
      </c>
      <c r="H34" s="43">
        <f ca="1">_xll.QUtils_ErrorReplace(IF($B34="S 0303",0,_xll.BDP("LM"&amp;H$5&amp;"D"&amp;$B34&amp;" Comdty","PX_SETTLE")),0)</f>
        <v>-59</v>
      </c>
      <c r="I34" s="44"/>
      <c r="J34" s="45">
        <f ca="1"/>
        <v>-59</v>
      </c>
      <c r="K34" s="43">
        <f ca="1">_xll.QUtils_ErrorReplace(IF($B34="S 0303",0,_xll.BDP("LM"&amp;K$5&amp;"D"&amp;$B34&amp;" Comdty","PX_SETTLE")),0)</f>
        <v>225.5</v>
      </c>
      <c r="L34" s="44"/>
      <c r="M34" s="45">
        <f ca="1"/>
        <v>225.5</v>
      </c>
      <c r="N34" s="43">
        <f ca="1">_xll.QUtils_ErrorReplace(IF($B34="S 0303",0,_xll.BDP("LM"&amp;N$5&amp;"D"&amp;$B34&amp;" Comdty","PX_SETTLE")),0)</f>
        <v>-572</v>
      </c>
      <c r="O34" s="6"/>
      <c r="P34" s="7">
        <f ca="1"/>
        <v>-572</v>
      </c>
      <c r="Q34" s="33">
        <f t="shared" ca="1" si="0"/>
        <v>2035.25</v>
      </c>
      <c r="R34" s="34">
        <f t="shared" ca="1" si="1"/>
        <v>6098.5</v>
      </c>
      <c r="S34" s="6">
        <f t="shared" ca="1" si="2"/>
        <v>2354.5</v>
      </c>
      <c r="T34" s="7">
        <f t="shared" ca="1" si="3"/>
        <v>12292</v>
      </c>
      <c r="W34" s="1">
        <f ca="1">_xll.QDates_SpecificWeekday(EDATE(W33,1),"Wednesday",1)</f>
        <v>44349</v>
      </c>
      <c r="X34" t="str">
        <f t="shared" ca="1" si="5"/>
        <v>JUN21</v>
      </c>
      <c r="Y34" s="19">
        <f ca="1">_xll.BDP(Y$1&amp;" "&amp;$X34&amp;" 10DP VOL LME Comdty","PX_LAST")/100</f>
        <v>0.19449611663818359</v>
      </c>
      <c r="Z34" s="20">
        <f ca="1">_xll.BDP(Y$1&amp;" "&amp;$X34&amp;" 25DP VOL LME Comdty","PX_LAST")/100</f>
        <v>0.18589809417724609</v>
      </c>
      <c r="AA34" s="25">
        <f ca="1">_xll.BDP(Y$1&amp;" "&amp;$X34&amp;" 50D VOL LME Comdty","PX_LAST")/100</f>
        <v>0.180999755859375</v>
      </c>
      <c r="AB34" s="20">
        <f ca="1">_xll.BDP(Y$1&amp;" "&amp;$X34&amp;" 25DC VOL LME Comdty","PX_LAST")/100</f>
        <v>0.18849485397338867</v>
      </c>
      <c r="AC34" s="21">
        <f ca="1">_xll.BDP(Y$1&amp;" "&amp;$X34&amp;" 10DC VOL LME Comdty","PX_LAST")/100</f>
        <v>0.19619546890258788</v>
      </c>
      <c r="AD34" s="28">
        <f ca="1">_xll.BDP(AD$1&amp;" "&amp;$X34&amp;" 10DP VOL LME Comdty","PX_LAST")/100</f>
        <v>0.23589427947998046</v>
      </c>
      <c r="AE34" s="29">
        <f ca="1">_xll.BDP(AD$1&amp;" "&amp;$X34&amp;" 25DP VOL LME Comdty","PX_LAST")/100</f>
        <v>0.21949565887451172</v>
      </c>
      <c r="AF34" s="30">
        <f ca="1">_xll.BDP(AD$1&amp;" "&amp;$X34&amp;" 50D VOL LME Comdty","PX_LAST")/100</f>
        <v>0.19920099258422852</v>
      </c>
      <c r="AG34" s="29">
        <f ca="1">_xll.BDP(AD$1&amp;" "&amp;$X34&amp;" 25DC VOL LME Comdty","PX_LAST")/100</f>
        <v>0.20329729080200196</v>
      </c>
      <c r="AH34" s="31">
        <f ca="1">_xll.BDP(AD$1&amp;" "&amp;$X34&amp;" 10DC VOL LME Comdty","PX_LAST")/100</f>
        <v>0.20589817047119141</v>
      </c>
      <c r="AI34" s="11">
        <f t="shared" ref="AI34:AI45" ca="1" si="6">AI33</f>
        <v>0.23930147171020508</v>
      </c>
      <c r="AJ34" s="11">
        <f t="shared" ref="AJ34:AJ45" ca="1" si="7">AJ33</f>
        <v>0.29879829406738279</v>
      </c>
      <c r="AL34" s="1"/>
      <c r="AR34" s="1"/>
      <c r="AS34" s="1">
        <f ca="1"/>
        <v>43445</v>
      </c>
      <c r="AT34" s="84">
        <f ca="1"/>
        <v>1949.5</v>
      </c>
      <c r="AU34" s="84">
        <f ca="1">_xll.QCurves_DisplayFixingDictionary(AM$6,$AS34)</f>
        <v>6163</v>
      </c>
      <c r="AV34" s="84">
        <f ca="1">_xll.QCurves_DisplayFixingDictionary(AN$6,$AS34)</f>
        <v>2675</v>
      </c>
      <c r="AW34" s="84">
        <f ca="1">_xll.QCurves_DisplayFixingDictionary(AO$6,$AS34)</f>
        <v>10765</v>
      </c>
      <c r="AX34" s="84">
        <f ca="1">_xll.QCurves_DisplayFixingDictionary(AP$6,$AS34)</f>
        <v>14.2995</v>
      </c>
      <c r="AY34" s="84">
        <f ca="1">_xll.QCurves_DisplayFixingDictionary(AQ$6,$AS34)</f>
        <v>1248.25</v>
      </c>
    </row>
    <row r="35" spans="1:51" x14ac:dyDescent="0.25">
      <c r="A35" t="str">
        <f ca="1">IF(D35=m3Date,"03",_xll.QDates_GetMonthCodeAndYear(D35,2))</f>
        <v>K21</v>
      </c>
      <c r="B35" t="str">
        <f t="shared" ca="1" si="4"/>
        <v>S 03K21</v>
      </c>
      <c r="D35" s="1">
        <f ca="1">_xll.QDates_NextLMECurveDate(D34,m3Date,FALSE)</f>
        <v>44335</v>
      </c>
      <c r="E35" s="43">
        <f ca="1">_xll.QUtils_ErrorReplace(IF($B35="S 0303",0,_xll.BDP("LM"&amp;E$5&amp;"D"&amp;$B35&amp;" Comdty","PX_SETTLE")),0)</f>
        <v>-168.5</v>
      </c>
      <c r="F35" s="44"/>
      <c r="G35" s="45">
        <f ca="1"/>
        <v>-168.5</v>
      </c>
      <c r="H35" s="43">
        <f ca="1">_xll.QUtils_ErrorReplace(IF($B35="S 0303",0,_xll.BDP("LM"&amp;H$5&amp;"D"&amp;$B35&amp;" Comdty","PX_SETTLE")),0)</f>
        <v>-60.5</v>
      </c>
      <c r="I35" s="44"/>
      <c r="J35" s="45">
        <f ca="1"/>
        <v>-60.5</v>
      </c>
      <c r="K35" s="43">
        <f ca="1">_xll.QUtils_ErrorReplace(IF($B35="S 0303",0,_xll.BDP("LM"&amp;K$5&amp;"D"&amp;$B35&amp;" Comdty","PX_SETTLE")),0)</f>
        <v>234</v>
      </c>
      <c r="L35" s="44"/>
      <c r="M35" s="45">
        <f ca="1"/>
        <v>234</v>
      </c>
      <c r="N35" s="43">
        <f ca="1">_xll.QUtils_ErrorReplace(IF($B35="S 0303",0,_xll.BDP("LM"&amp;N$5&amp;"D"&amp;$B35&amp;" Comdty","PX_SETTLE")),0)</f>
        <v>-595</v>
      </c>
      <c r="O35" s="6"/>
      <c r="P35" s="7">
        <f ca="1"/>
        <v>-595</v>
      </c>
      <c r="Q35" s="33">
        <f t="shared" ca="1" si="0"/>
        <v>2041.5</v>
      </c>
      <c r="R35" s="34">
        <f t="shared" ca="1" si="1"/>
        <v>6100</v>
      </c>
      <c r="S35" s="6">
        <f t="shared" ca="1" si="2"/>
        <v>2346</v>
      </c>
      <c r="T35" s="7">
        <f t="shared" ca="1" si="3"/>
        <v>12315</v>
      </c>
      <c r="W35" s="1">
        <f ca="1">_xll.QDates_SpecificWeekday(EDATE(W34,1),"Wednesday",1)</f>
        <v>44384</v>
      </c>
      <c r="X35" t="str">
        <f t="shared" ca="1" si="5"/>
        <v>JUL21</v>
      </c>
      <c r="Y35" s="19">
        <f ca="1">_xll.BDP(Y$1&amp;" "&amp;$X35&amp;" 10DP VOL LME Comdty","PX_LAST")/100</f>
        <v>0.19449613571166993</v>
      </c>
      <c r="Z35" s="20">
        <f ca="1">_xll.BDP(Y$1&amp;" "&amp;$X35&amp;" 25DP VOL LME Comdty","PX_LAST")/100</f>
        <v>0.18579811096191406</v>
      </c>
      <c r="AA35" s="25">
        <f ca="1">_xll.BDP(Y$1&amp;" "&amp;$X35&amp;" 50D VOL LME Comdty","PX_LAST")/100</f>
        <v>0.18089977264404297</v>
      </c>
      <c r="AB35" s="20">
        <f ca="1">_xll.BDP(Y$1&amp;" "&amp;$X35&amp;" 25DC VOL LME Comdty","PX_LAST")/100</f>
        <v>0.18829481124877931</v>
      </c>
      <c r="AC35" s="21">
        <f ca="1">_xll.BDP(Y$1&amp;" "&amp;$X35&amp;" 10DC VOL LME Comdty","PX_LAST")/100</f>
        <v>0.19599540710449218</v>
      </c>
      <c r="AD35" s="28">
        <f ca="1">_xll.BDP(AD$1&amp;" "&amp;$X35&amp;" 10DP VOL LME Comdty","PX_LAST")/100</f>
        <v>0.23639429092407227</v>
      </c>
      <c r="AE35" s="29">
        <f ca="1">_xll.BDP(AD$1&amp;" "&amp;$X35&amp;" 25DP VOL LME Comdty","PX_LAST")/100</f>
        <v>0.21969570159912111</v>
      </c>
      <c r="AF35" s="30">
        <f ca="1">_xll.BDP(AD$1&amp;" "&amp;$X35&amp;" 50D VOL LME Comdty","PX_LAST")/100</f>
        <v>0.19920101165771484</v>
      </c>
      <c r="AG35" s="29">
        <f ca="1">_xll.BDP(AD$1&amp;" "&amp;$X35&amp;" 25DC VOL LME Comdty","PX_LAST")/100</f>
        <v>0.20339725494384767</v>
      </c>
      <c r="AH35" s="31">
        <f ca="1">_xll.BDP(AD$1&amp;" "&amp;$X35&amp;" 10DC VOL LME Comdty","PX_LAST")/100</f>
        <v>0.20589818954467773</v>
      </c>
      <c r="AI35" s="11">
        <f t="shared" ca="1" si="6"/>
        <v>0.23930147171020508</v>
      </c>
      <c r="AJ35" s="11">
        <f t="shared" ca="1" si="7"/>
        <v>0.29879829406738279</v>
      </c>
      <c r="AL35" s="1"/>
      <c r="AR35" s="1"/>
      <c r="AS35" s="1">
        <f ca="1"/>
        <v>43444</v>
      </c>
      <c r="AT35" s="84">
        <f ca="1"/>
        <v>1951</v>
      </c>
      <c r="AU35" s="84">
        <f ca="1">_xll.QCurves_DisplayFixingDictionary(AM$6,$AS35)</f>
        <v>6112</v>
      </c>
      <c r="AV35" s="84">
        <f ca="1">_xll.QCurves_DisplayFixingDictionary(AN$6,$AS35)</f>
        <v>2678</v>
      </c>
      <c r="AW35" s="84">
        <f ca="1">_xll.QCurves_DisplayFixingDictionary(AO$6,$AS35)</f>
        <v>10740</v>
      </c>
      <c r="AX35" s="84">
        <f ca="1">_xll.QCurves_DisplayFixingDictionary(AP$6,$AS35)</f>
        <v>14.2796</v>
      </c>
      <c r="AY35" s="84">
        <f ca="1">_xll.QCurves_DisplayFixingDictionary(AQ$6,$AS35)</f>
        <v>1246.8</v>
      </c>
    </row>
    <row r="36" spans="1:51" x14ac:dyDescent="0.25">
      <c r="A36" t="str">
        <f ca="1">IF(D36=m3Date,"03",_xll.QDates_GetMonthCodeAndYear(D36,2))</f>
        <v>M21</v>
      </c>
      <c r="B36" t="str">
        <f t="shared" ca="1" si="4"/>
        <v>S 03M21</v>
      </c>
      <c r="D36" s="1">
        <f ca="1">_xll.QDates_NextLMECurveDate(D35,m3Date,FALSE)</f>
        <v>44363</v>
      </c>
      <c r="E36" s="43">
        <f ca="1">_xll.QUtils_ErrorReplace(IF($B36="S 0303",0,_xll.BDP("LM"&amp;E$5&amp;"D"&amp;$B36&amp;" Comdty","PX_SETTLE")),0)</f>
        <v>-175</v>
      </c>
      <c r="F36" s="44"/>
      <c r="G36" s="45">
        <f ca="1"/>
        <v>-175</v>
      </c>
      <c r="H36" s="43">
        <f ca="1">_xll.QUtils_ErrorReplace(IF($B36="S 0303",0,_xll.BDP("LM"&amp;H$5&amp;"D"&amp;$B36&amp;" Comdty","PX_SETTLE")),0)</f>
        <v>-62</v>
      </c>
      <c r="I36" s="44"/>
      <c r="J36" s="45">
        <f ca="1"/>
        <v>-62</v>
      </c>
      <c r="K36" s="43">
        <f ca="1">_xll.QUtils_ErrorReplace(IF($B36="S 0303",0,_xll.BDP("LM"&amp;K$5&amp;"D"&amp;$B36&amp;" Comdty","PX_SETTLE")),0)</f>
        <v>242.5</v>
      </c>
      <c r="L36" s="44"/>
      <c r="M36" s="45">
        <f ca="1"/>
        <v>242.5</v>
      </c>
      <c r="N36" s="43">
        <f ca="1">_xll.QUtils_ErrorReplace(IF($B36="S 0303",0,_xll.BDP("LM"&amp;N$5&amp;"D"&amp;$B36&amp;" Comdty","PX_SETTLE")),0)</f>
        <v>-618</v>
      </c>
      <c r="O36" s="6"/>
      <c r="P36" s="7">
        <f ca="1"/>
        <v>-618</v>
      </c>
      <c r="Q36" s="33">
        <f t="shared" ca="1" si="0"/>
        <v>2048</v>
      </c>
      <c r="R36" s="34">
        <f t="shared" ca="1" si="1"/>
        <v>6101.5</v>
      </c>
      <c r="S36" s="6">
        <f t="shared" ca="1" si="2"/>
        <v>2337.5</v>
      </c>
      <c r="T36" s="7">
        <f t="shared" ca="1" si="3"/>
        <v>12338</v>
      </c>
      <c r="W36" s="1">
        <f ca="1">_xll.QDates_SpecificWeekday(EDATE(W35,1),"Wednesday",1)</f>
        <v>44412</v>
      </c>
      <c r="X36" t="str">
        <f t="shared" ca="1" si="5"/>
        <v>AUG21</v>
      </c>
      <c r="Y36" s="19">
        <f ca="1">_xll.BDP(Y$1&amp;" "&amp;$X36&amp;" 10DP VOL LME Comdty","PX_LAST")/100</f>
        <v>0.19529615402221678</v>
      </c>
      <c r="Z36" s="20">
        <f ca="1">_xll.BDP(Y$1&amp;" "&amp;$X36&amp;" 25DP VOL LME Comdty","PX_LAST")/100</f>
        <v>0.18669811248779297</v>
      </c>
      <c r="AA36" s="25">
        <f ca="1">_xll.BDP(Y$1&amp;" "&amp;$X36&amp;" 50D VOL LME Comdty","PX_LAST")/100</f>
        <v>0.18149976730346679</v>
      </c>
      <c r="AB36" s="20">
        <f ca="1">_xll.BDP(Y$1&amp;" "&amp;$X36&amp;" 25DC VOL LME Comdty","PX_LAST")/100</f>
        <v>0.18919460296630861</v>
      </c>
      <c r="AC36" s="21">
        <f ca="1">_xll.BDP(Y$1&amp;" "&amp;$X36&amp;" 10DC VOL LME Comdty","PX_LAST")/100</f>
        <v>0.1970953369140625</v>
      </c>
      <c r="AD36" s="28">
        <f ca="1">_xll.BDP(AD$1&amp;" "&amp;$X36&amp;" 10DP VOL LME Comdty","PX_LAST")/100</f>
        <v>0.23649429321289062</v>
      </c>
      <c r="AE36" s="29">
        <f ca="1">_xll.BDP(AD$1&amp;" "&amp;$X36&amp;" 25DP VOL LME Comdty","PX_LAST")/100</f>
        <v>0.21969573974609374</v>
      </c>
      <c r="AF36" s="30">
        <f ca="1">_xll.BDP(AD$1&amp;" "&amp;$X36&amp;" 50D VOL LME Comdty","PX_LAST")/100</f>
        <v>0.19920101165771484</v>
      </c>
      <c r="AG36" s="29">
        <f ca="1">_xll.BDP(AD$1&amp;" "&amp;$X36&amp;" 25DC VOL LME Comdty","PX_LAST")/100</f>
        <v>0.20339723587036132</v>
      </c>
      <c r="AH36" s="31">
        <f ca="1">_xll.BDP(AD$1&amp;" "&amp;$X36&amp;" 10DC VOL LME Comdty","PX_LAST")/100</f>
        <v>0.2059981918334961</v>
      </c>
      <c r="AI36" s="11">
        <f t="shared" ca="1" si="6"/>
        <v>0.23930147171020508</v>
      </c>
      <c r="AJ36" s="11">
        <f t="shared" ca="1" si="7"/>
        <v>0.29879829406738279</v>
      </c>
      <c r="AL36" s="1"/>
      <c r="AR36" s="1"/>
      <c r="AS36" s="1">
        <f ca="1"/>
        <v>43441</v>
      </c>
      <c r="AT36" s="84">
        <f ca="1"/>
        <v>1962</v>
      </c>
      <c r="AU36" s="84">
        <f ca="1">_xll.QCurves_DisplayFixingDictionary(AM$6,$AS36)</f>
        <v>6173</v>
      </c>
      <c r="AV36" s="84">
        <f ca="1">_xll.QCurves_DisplayFixingDictionary(AN$6,$AS36)</f>
        <v>2709</v>
      </c>
      <c r="AW36" s="84">
        <f ca="1">_xll.QCurves_DisplayFixingDictionary(AO$6,$AS36)</f>
        <v>10815</v>
      </c>
      <c r="AX36" s="84">
        <f ca="1">_xll.QCurves_DisplayFixingDictionary(AP$6,$AS36)</f>
        <v>14.153600000000001</v>
      </c>
      <c r="AY36" s="84">
        <f ca="1">_xll.QCurves_DisplayFixingDictionary(AQ$6,$AS36)</f>
        <v>1241.2</v>
      </c>
    </row>
    <row r="37" spans="1:51" x14ac:dyDescent="0.25">
      <c r="A37" t="str">
        <f ca="1">IF(D37=m3Date,"03",_xll.QDates_GetMonthCodeAndYear(D37,2))</f>
        <v>N21</v>
      </c>
      <c r="B37" t="str">
        <f t="shared" ca="1" si="4"/>
        <v>S 03N21</v>
      </c>
      <c r="D37" s="1">
        <f ca="1">_xll.QDates_NextLMECurveDate(D36,m3Date,FALSE)</f>
        <v>44398</v>
      </c>
      <c r="E37" s="43">
        <f ca="1">_xll.QUtils_ErrorReplace(IF($B37="S 0303",0,_xll.BDP("LM"&amp;E$5&amp;"D"&amp;$B37&amp;" Comdty","PX_SETTLE")),0)</f>
        <v>-182.75</v>
      </c>
      <c r="F37" s="44"/>
      <c r="G37" s="45">
        <f ca="1"/>
        <v>-182.75</v>
      </c>
      <c r="H37" s="43">
        <f ca="1">_xll.QUtils_ErrorReplace(IF($B37="S 0303",0,_xll.BDP("LM"&amp;H$5&amp;"D"&amp;$B37&amp;" Comdty","PX_SETTLE")),0)</f>
        <v>-63.5</v>
      </c>
      <c r="I37" s="44"/>
      <c r="J37" s="45">
        <f ca="1"/>
        <v>-63.5</v>
      </c>
      <c r="K37" s="43">
        <f ca="1">_xll.QUtils_ErrorReplace(IF($B37="S 0303",0,_xll.BDP("LM"&amp;K$5&amp;"D"&amp;$B37&amp;" Comdty","PX_SETTLE")),0)</f>
        <v>251.5</v>
      </c>
      <c r="L37" s="44"/>
      <c r="M37" s="45">
        <f ca="1"/>
        <v>251.5</v>
      </c>
      <c r="N37" s="43">
        <f ca="1">_xll.QUtils_ErrorReplace(IF($B37="S 0303",0,_xll.BDP("LM"&amp;N$5&amp;"D"&amp;$B37&amp;" Comdty","PX_SETTLE")),0)</f>
        <v>-641</v>
      </c>
      <c r="O37" s="6"/>
      <c r="P37" s="7">
        <f ca="1"/>
        <v>-641</v>
      </c>
      <c r="Q37" s="33">
        <f t="shared" ca="1" si="0"/>
        <v>2055.75</v>
      </c>
      <c r="R37" s="34">
        <f t="shared" ca="1" si="1"/>
        <v>6103</v>
      </c>
      <c r="S37" s="6">
        <f t="shared" ca="1" si="2"/>
        <v>2328.5</v>
      </c>
      <c r="T37" s="7">
        <f t="shared" ca="1" si="3"/>
        <v>12361</v>
      </c>
      <c r="W37" s="1">
        <f ca="1">_xll.QDates_SpecificWeekday(EDATE(W36,1),"Wednesday",1)</f>
        <v>44440</v>
      </c>
      <c r="X37" t="str">
        <f t="shared" ca="1" si="5"/>
        <v>SEP21</v>
      </c>
      <c r="Y37" s="19">
        <f ca="1">_xll.BDP(Y$1&amp;" "&amp;$X37&amp;" 10DP VOL LME Comdty","PX_LAST")/100</f>
        <v>0.1951961898803711</v>
      </c>
      <c r="Z37" s="20">
        <f ca="1">_xll.BDP(Y$1&amp;" "&amp;$X37&amp;" 25DP VOL LME Comdty","PX_LAST")/100</f>
        <v>0.18669813156127929</v>
      </c>
      <c r="AA37" s="25">
        <f ca="1">_xll.BDP(Y$1&amp;" "&amp;$X37&amp;" 50D VOL LME Comdty","PX_LAST")/100</f>
        <v>0.18139976501464844</v>
      </c>
      <c r="AB37" s="20">
        <f ca="1">_xll.BDP(Y$1&amp;" "&amp;$X37&amp;" 25DC VOL LME Comdty","PX_LAST")/100</f>
        <v>0.18899457931518554</v>
      </c>
      <c r="AC37" s="21">
        <f ca="1">_xll.BDP(Y$1&amp;" "&amp;$X37&amp;" 10DC VOL LME Comdty","PX_LAST")/100</f>
        <v>0.19699531555175781</v>
      </c>
      <c r="AD37" s="28">
        <f ca="1">_xll.BDP(AD$1&amp;" "&amp;$X37&amp;" 10DP VOL LME Comdty","PX_LAST")/100</f>
        <v>0.23649431228637696</v>
      </c>
      <c r="AE37" s="29">
        <f ca="1">_xll.BDP(AD$1&amp;" "&amp;$X37&amp;" 25DP VOL LME Comdty","PX_LAST")/100</f>
        <v>0.21969579696655273</v>
      </c>
      <c r="AF37" s="30">
        <f ca="1">_xll.BDP(AD$1&amp;" "&amp;$X37&amp;" 50D VOL LME Comdty","PX_LAST")/100</f>
        <v>0.19920103073120118</v>
      </c>
      <c r="AG37" s="29">
        <f ca="1">_xll.BDP(AD$1&amp;" "&amp;$X37&amp;" 25DC VOL LME Comdty","PX_LAST")/100</f>
        <v>0.203397216796875</v>
      </c>
      <c r="AH37" s="31">
        <f ca="1">_xll.BDP(AD$1&amp;" "&amp;$X37&amp;" 10DC VOL LME Comdty","PX_LAST")/100</f>
        <v>0.2059981918334961</v>
      </c>
      <c r="AI37" s="11">
        <f t="shared" ca="1" si="6"/>
        <v>0.23930147171020508</v>
      </c>
      <c r="AJ37" s="11">
        <f t="shared" ca="1" si="7"/>
        <v>0.29879829406738279</v>
      </c>
      <c r="AL37" s="1"/>
      <c r="AR37" s="1"/>
    </row>
    <row r="38" spans="1:51" x14ac:dyDescent="0.25">
      <c r="A38" t="str">
        <f ca="1">IF(D38=m3Date,"03",_xll.QDates_GetMonthCodeAndYear(D38,2))</f>
        <v>Q21</v>
      </c>
      <c r="B38" t="str">
        <f t="shared" ca="1" si="4"/>
        <v>S 03Q21</v>
      </c>
      <c r="D38" s="1">
        <f ca="1">_xll.QDates_NextLMECurveDate(D37,m3Date,FALSE)</f>
        <v>44426</v>
      </c>
      <c r="E38" s="43">
        <f ca="1">_xll.QUtils_ErrorReplace(IF($B38="S 0303",0,_xll.BDP("LM"&amp;E$5&amp;"D"&amp;$B38&amp;" Comdty","PX_SETTLE")),0)</f>
        <v>-189</v>
      </c>
      <c r="F38" s="44"/>
      <c r="G38" s="45">
        <f ca="1"/>
        <v>-189</v>
      </c>
      <c r="H38" s="43">
        <f ca="1">_xll.QUtils_ErrorReplace(IF($B38="S 0303",0,_xll.BDP("LM"&amp;H$5&amp;"D"&amp;$B38&amp;" Comdty","PX_SETTLE")),0)</f>
        <v>-65</v>
      </c>
      <c r="I38" s="44"/>
      <c r="J38" s="45">
        <f ca="1"/>
        <v>-65</v>
      </c>
      <c r="K38" s="43">
        <f ca="1">_xll.QUtils_ErrorReplace(IF($B38="S 0303",0,_xll.BDP("LM"&amp;K$5&amp;"D"&amp;$B38&amp;" Comdty","PX_SETTLE")),0)</f>
        <v>260.5</v>
      </c>
      <c r="L38" s="44"/>
      <c r="M38" s="45">
        <f ca="1"/>
        <v>260.5</v>
      </c>
      <c r="N38" s="43">
        <f ca="1">_xll.QUtils_ErrorReplace(IF($B38="S 0303",0,_xll.BDP("LM"&amp;N$5&amp;"D"&amp;$B38&amp;" Comdty","PX_SETTLE")),0)</f>
        <v>-664</v>
      </c>
      <c r="O38" s="6"/>
      <c r="P38" s="7">
        <f ca="1"/>
        <v>-664</v>
      </c>
      <c r="Q38" s="33">
        <f t="shared" ref="Q38:Q59" ca="1" si="8">IF($D38&lt;m3Date,Q$3+G38,Q$3-G38)</f>
        <v>2062</v>
      </c>
      <c r="R38" s="34">
        <f t="shared" ref="R38:R59" ca="1" si="9">IF($D38&lt;m3Date,R$3+J38,R$3-J38)</f>
        <v>6104.5</v>
      </c>
      <c r="S38" s="6">
        <f t="shared" ref="S38:S59" ca="1" si="10">IF($D38&lt;m3Date,S$3+M38,S$3-M38)</f>
        <v>2319.5</v>
      </c>
      <c r="T38" s="7">
        <f t="shared" ref="T38:T59" ca="1" si="11">IF($D38&lt;m3Date,T$3+P38,T$3-P38)</f>
        <v>12384</v>
      </c>
      <c r="W38" s="1">
        <f ca="1">_xll.QDates_SpecificWeekday(EDATE(W37,1),"Wednesday",1)</f>
        <v>44475</v>
      </c>
      <c r="X38" t="str">
        <f t="shared" ca="1" si="5"/>
        <v>OCT21</v>
      </c>
      <c r="Y38" s="19">
        <f ca="1">_xll.BDP(Y$1&amp;" "&amp;$X38&amp;" 10DP VOL LME Comdty","PX_LAST")/100</f>
        <v>0.19529621124267579</v>
      </c>
      <c r="Z38" s="20">
        <f ca="1">_xll.BDP(Y$1&amp;" "&amp;$X38&amp;" 25DP VOL LME Comdty","PX_LAST")/100</f>
        <v>0.18669813156127929</v>
      </c>
      <c r="AA38" s="25">
        <f ca="1">_xll.BDP(Y$1&amp;" "&amp;$X38&amp;" 50D VOL LME Comdty","PX_LAST")/100</f>
        <v>0.18129978179931641</v>
      </c>
      <c r="AB38" s="20">
        <f ca="1">_xll.BDP(Y$1&amp;" "&amp;$X38&amp;" 25DC VOL LME Comdty","PX_LAST")/100</f>
        <v>0.18879459381103517</v>
      </c>
      <c r="AC38" s="21">
        <f ca="1">_xll.BDP(Y$1&amp;" "&amp;$X38&amp;" 10DC VOL LME Comdty","PX_LAST")/100</f>
        <v>0.19669530868530274</v>
      </c>
      <c r="AD38" s="28">
        <f ca="1">_xll.BDP(AD$1&amp;" "&amp;$X38&amp;" 10DP VOL LME Comdty","PX_LAST")/100</f>
        <v>0.2366943359375</v>
      </c>
      <c r="AE38" s="29">
        <f ca="1">_xll.BDP(AD$1&amp;" "&amp;$X38&amp;" 25DP VOL LME Comdty","PX_LAST")/100</f>
        <v>0.2197958755493164</v>
      </c>
      <c r="AF38" s="30">
        <f ca="1">_xll.BDP(AD$1&amp;" "&amp;$X38&amp;" 50D VOL LME Comdty","PX_LAST")/100</f>
        <v>0.1992010498046875</v>
      </c>
      <c r="AG38" s="29">
        <f ca="1">_xll.BDP(AD$1&amp;" "&amp;$X38&amp;" 25DC VOL LME Comdty","PX_LAST")/100</f>
        <v>0.20349720001220703</v>
      </c>
      <c r="AH38" s="31">
        <f ca="1">_xll.BDP(AD$1&amp;" "&amp;$X38&amp;" 10DC VOL LME Comdty","PX_LAST")/100</f>
        <v>0.2059981918334961</v>
      </c>
      <c r="AI38" s="11">
        <f t="shared" ca="1" si="6"/>
        <v>0.23930147171020508</v>
      </c>
      <c r="AJ38" s="11">
        <f t="shared" ca="1" si="7"/>
        <v>0.29879829406738279</v>
      </c>
      <c r="AL38" s="1"/>
      <c r="AR38" s="1"/>
    </row>
    <row r="39" spans="1:51" x14ac:dyDescent="0.25">
      <c r="A39" t="str">
        <f ca="1">IF(D39=m3Date,"03",_xll.QDates_GetMonthCodeAndYear(D39,2))</f>
        <v>U21</v>
      </c>
      <c r="B39" t="str">
        <f t="shared" ref="B39:B59" ca="1" si="12">IF(D39&lt;m3Date,"S "&amp;A39&amp;"03","S 03"&amp;A39)</f>
        <v>S 03U21</v>
      </c>
      <c r="D39" s="1">
        <f ca="1">_xll.QDates_NextLMECurveDate(D38,m3Date,FALSE)</f>
        <v>44454</v>
      </c>
      <c r="E39" s="43">
        <f ca="1">_xll.QUtils_ErrorReplace(IF($B39="S 0303",0,_xll.BDP("LM"&amp;E$5&amp;"D"&amp;$B39&amp;" Comdty","PX_SETTLE")),0)</f>
        <v>-195</v>
      </c>
      <c r="F39" s="44"/>
      <c r="G39" s="45">
        <f ca="1"/>
        <v>-195</v>
      </c>
      <c r="H39" s="43">
        <f ca="1">_xll.QUtils_ErrorReplace(IF($B39="S 0303",0,_xll.BDP("LM"&amp;H$5&amp;"D"&amp;$B39&amp;" Comdty","PX_SETTLE")),0)</f>
        <v>-66.5</v>
      </c>
      <c r="I39" s="44"/>
      <c r="J39" s="45">
        <f ca="1"/>
        <v>-66.5</v>
      </c>
      <c r="K39" s="43">
        <f ca="1">_xll.QUtils_ErrorReplace(IF($B39="S 0303",0,_xll.BDP("LM"&amp;K$5&amp;"D"&amp;$B39&amp;" Comdty","PX_SETTLE")),0)</f>
        <v>269.5</v>
      </c>
      <c r="L39" s="44"/>
      <c r="M39" s="45">
        <f ca="1"/>
        <v>269.5</v>
      </c>
      <c r="N39" s="43">
        <f ca="1">_xll.QUtils_ErrorReplace(IF($B39="S 0303",0,_xll.BDP("LM"&amp;N$5&amp;"D"&amp;$B39&amp;" Comdty","PX_SETTLE")),0)</f>
        <v>-687</v>
      </c>
      <c r="O39" s="6"/>
      <c r="P39" s="7">
        <f ca="1"/>
        <v>-687</v>
      </c>
      <c r="Q39" s="33">
        <f t="shared" ca="1" si="8"/>
        <v>2068</v>
      </c>
      <c r="R39" s="34">
        <f t="shared" ca="1" si="9"/>
        <v>6106</v>
      </c>
      <c r="S39" s="6">
        <f t="shared" ca="1" si="10"/>
        <v>2310.5</v>
      </c>
      <c r="T39" s="7">
        <f t="shared" ca="1" si="11"/>
        <v>12407</v>
      </c>
      <c r="W39" s="1">
        <f ca="1">_xll.QDates_SpecificWeekday(EDATE(W38,1),"Wednesday",1)</f>
        <v>44503</v>
      </c>
      <c r="X39" t="str">
        <f t="shared" ca="1" si="5"/>
        <v>NOV21</v>
      </c>
      <c r="Y39" s="19">
        <f ca="1">_xll.BDP(Y$1&amp;" "&amp;$X39&amp;" 10DP VOL LME Comdty","PX_LAST")/100</f>
        <v>0.19529624938964843</v>
      </c>
      <c r="Z39" s="20">
        <f ca="1">_xll.BDP(Y$1&amp;" "&amp;$X39&amp;" 25DP VOL LME Comdty","PX_LAST")/100</f>
        <v>0.18669816970825195</v>
      </c>
      <c r="AA39" s="25">
        <f ca="1">_xll.BDP(Y$1&amp;" "&amp;$X39&amp;" 50D VOL LME Comdty","PX_LAST")/100</f>
        <v>0.1811998176574707</v>
      </c>
      <c r="AB39" s="20">
        <f ca="1">_xll.BDP(Y$1&amp;" "&amp;$X39&amp;" 25DC VOL LME Comdty","PX_LAST")/100</f>
        <v>0.18869461059570314</v>
      </c>
      <c r="AC39" s="21">
        <f ca="1">_xll.BDP(Y$1&amp;" "&amp;$X39&amp;" 10DC VOL LME Comdty","PX_LAST")/100</f>
        <v>0.19649534225463866</v>
      </c>
      <c r="AD39" s="28">
        <f ca="1">_xll.BDP(AD$1&amp;" "&amp;$X39&amp;" 10DP VOL LME Comdty","PX_LAST")/100</f>
        <v>0.23669437408447266</v>
      </c>
      <c r="AE39" s="29">
        <f ca="1">_xll.BDP(AD$1&amp;" "&amp;$X39&amp;" 25DP VOL LME Comdty","PX_LAST")/100</f>
        <v>0.21979595184326173</v>
      </c>
      <c r="AF39" s="30">
        <f ca="1">_xll.BDP(AD$1&amp;" "&amp;$X39&amp;" 50D VOL LME Comdty","PX_LAST")/100</f>
        <v>0.19920106887817382</v>
      </c>
      <c r="AG39" s="29">
        <f ca="1">_xll.BDP(AD$1&amp;" "&amp;$X39&amp;" 25DC VOL LME Comdty","PX_LAST")/100</f>
        <v>0.20349718093872071</v>
      </c>
      <c r="AH39" s="31">
        <f ca="1">_xll.BDP(AD$1&amp;" "&amp;$X39&amp;" 10DC VOL LME Comdty","PX_LAST")/100</f>
        <v>0.20599817276000976</v>
      </c>
      <c r="AI39" s="11">
        <f t="shared" ca="1" si="6"/>
        <v>0.23930147171020508</v>
      </c>
      <c r="AJ39" s="11">
        <f t="shared" ca="1" si="7"/>
        <v>0.29879829406738279</v>
      </c>
      <c r="AL39" s="1"/>
      <c r="AR39" s="1"/>
    </row>
    <row r="40" spans="1:51" x14ac:dyDescent="0.25">
      <c r="A40" t="str">
        <f ca="1">IF(D40=m3Date,"03",_xll.QDates_GetMonthCodeAndYear(D40,2))</f>
        <v>V21</v>
      </c>
      <c r="B40" t="str">
        <f t="shared" ca="1" si="12"/>
        <v>S 03V21</v>
      </c>
      <c r="D40" s="1">
        <f ca="1">_xll.QDates_NextLMECurveDate(D39,m3Date,FALSE)</f>
        <v>44489</v>
      </c>
      <c r="E40" s="43">
        <f ca="1">_xll.QUtils_ErrorReplace(IF($B40="S 0303",0,_xll.BDP("LM"&amp;E$5&amp;"D"&amp;$B40&amp;" Comdty","PX_SETTLE")),0)</f>
        <v>-202.5</v>
      </c>
      <c r="F40" s="44"/>
      <c r="G40" s="45">
        <f ca="1"/>
        <v>-202.5</v>
      </c>
      <c r="H40" s="43">
        <f ca="1">_xll.QUtils_ErrorReplace(IF($B40="S 0303",0,_xll.BDP("LM"&amp;H$5&amp;"D"&amp;$B40&amp;" Comdty","PX_SETTLE")),0)</f>
        <v>-68</v>
      </c>
      <c r="I40" s="44"/>
      <c r="J40" s="45">
        <f ca="1"/>
        <v>-68</v>
      </c>
      <c r="K40" s="43">
        <f ca="1">_xll.QUtils_ErrorReplace(IF($B40="S 0303",0,_xll.BDP("LM"&amp;K$5&amp;"D"&amp;$B40&amp;" Comdty","PX_SETTLE")),0)</f>
        <v>278.5</v>
      </c>
      <c r="L40" s="44"/>
      <c r="M40" s="45">
        <f ca="1"/>
        <v>278.5</v>
      </c>
      <c r="N40" s="43">
        <f ca="1">_xll.QUtils_ErrorReplace(IF($B40="S 0303",0,_xll.BDP("LM"&amp;N$5&amp;"D"&amp;$B40&amp;" Comdty","PX_SETTLE")),0)</f>
        <v>-710</v>
      </c>
      <c r="O40" s="6"/>
      <c r="P40" s="7">
        <f ca="1"/>
        <v>-710</v>
      </c>
      <c r="Q40" s="33">
        <f t="shared" ca="1" si="8"/>
        <v>2075.5</v>
      </c>
      <c r="R40" s="34">
        <f t="shared" ca="1" si="9"/>
        <v>6107.5</v>
      </c>
      <c r="S40" s="6">
        <f t="shared" ca="1" si="10"/>
        <v>2301.5</v>
      </c>
      <c r="T40" s="7">
        <f t="shared" ca="1" si="11"/>
        <v>12430</v>
      </c>
      <c r="W40" s="1">
        <f ca="1">_xll.QDates_SpecificWeekday(EDATE(W39,1),"Wednesday",1)</f>
        <v>44531</v>
      </c>
      <c r="X40" t="str">
        <f t="shared" ca="1" si="5"/>
        <v>DEC21</v>
      </c>
      <c r="Y40" s="19">
        <f ca="1">_xll.BDP(Y$1&amp;" "&amp;$X40&amp;" 10DP VOL LME Comdty","PX_LAST")/100</f>
        <v>0.19529626846313478</v>
      </c>
      <c r="Z40" s="20">
        <f ca="1">_xll.BDP(Y$1&amp;" "&amp;$X40&amp;" 25DP VOL LME Comdty","PX_LAST")/100</f>
        <v>0.18669816970825195</v>
      </c>
      <c r="AA40" s="25">
        <f ca="1">_xll.BDP(Y$1&amp;" "&amp;$X40&amp;" 50D VOL LME Comdty","PX_LAST")/100</f>
        <v>0.18109981536865236</v>
      </c>
      <c r="AB40" s="20">
        <f ca="1">_xll.BDP(Y$1&amp;" "&amp;$X40&amp;" 25DC VOL LME Comdty","PX_LAST")/100</f>
        <v>0.18849462509155274</v>
      </c>
      <c r="AC40" s="21">
        <f ca="1">_xll.BDP(Y$1&amp;" "&amp;$X40&amp;" 10DC VOL LME Comdty","PX_LAST")/100</f>
        <v>0.19629539489746095</v>
      </c>
      <c r="AD40" s="28">
        <f ca="1">_xll.BDP(AD$1&amp;" "&amp;$X40&amp;" 10DP VOL LME Comdty","PX_LAST")/100</f>
        <v>0.23669443130493165</v>
      </c>
      <c r="AE40" s="29">
        <f ca="1">_xll.BDP(AD$1&amp;" "&amp;$X40&amp;" 25DP VOL LME Comdty","PX_LAST")/100</f>
        <v>0.21979600906372071</v>
      </c>
      <c r="AF40" s="30">
        <f ca="1">_xll.BDP(AD$1&amp;" "&amp;$X40&amp;" 50D VOL LME Comdty","PX_LAST")/100</f>
        <v>0.19920108795166017</v>
      </c>
      <c r="AG40" s="29">
        <f ca="1">_xll.BDP(AD$1&amp;" "&amp;$X40&amp;" 25DC VOL LME Comdty","PX_LAST")/100</f>
        <v>0.20349716186523437</v>
      </c>
      <c r="AH40" s="31">
        <f ca="1">_xll.BDP(AD$1&amp;" "&amp;$X40&amp;" 10DC VOL LME Comdty","PX_LAST")/100</f>
        <v>0.20599815368652344</v>
      </c>
      <c r="AI40" s="11">
        <f t="shared" ca="1" si="6"/>
        <v>0.23930147171020508</v>
      </c>
      <c r="AJ40" s="11">
        <f t="shared" ca="1" si="7"/>
        <v>0.29879829406738279</v>
      </c>
      <c r="AL40" s="1"/>
      <c r="AR40" s="1"/>
    </row>
    <row r="41" spans="1:51" x14ac:dyDescent="0.25">
      <c r="A41" t="str">
        <f ca="1">IF(D41=m3Date,"03",_xll.QDates_GetMonthCodeAndYear(D41,2))</f>
        <v>X21</v>
      </c>
      <c r="B41" t="str">
        <f t="shared" ca="1" si="12"/>
        <v>S 03X21</v>
      </c>
      <c r="D41" s="1">
        <f ca="1">_xll.QDates_NextLMECurveDate(D40,m3Date,FALSE)</f>
        <v>44517</v>
      </c>
      <c r="E41" s="43">
        <f ca="1">_xll.QUtils_ErrorReplace(IF($B41="S 0303",0,_xll.BDP("LM"&amp;E$5&amp;"D"&amp;$B41&amp;" Comdty","PX_SETTLE")),0)</f>
        <v>-208.5</v>
      </c>
      <c r="F41" s="44"/>
      <c r="G41" s="45">
        <f ca="1"/>
        <v>-208.5</v>
      </c>
      <c r="H41" s="43">
        <f ca="1">_xll.QUtils_ErrorReplace(IF($B41="S 0303",0,_xll.BDP("LM"&amp;H$5&amp;"D"&amp;$B41&amp;" Comdty","PX_SETTLE")),0)</f>
        <v>-69.5</v>
      </c>
      <c r="I41" s="44"/>
      <c r="J41" s="45">
        <f ca="1"/>
        <v>-69.5</v>
      </c>
      <c r="K41" s="43">
        <f ca="1">_xll.QUtils_ErrorReplace(IF($B41="S 0303",0,_xll.BDP("LM"&amp;K$5&amp;"D"&amp;$B41&amp;" Comdty","PX_SETTLE")),0)</f>
        <v>287.5</v>
      </c>
      <c r="L41" s="44"/>
      <c r="M41" s="45">
        <f ca="1"/>
        <v>287.5</v>
      </c>
      <c r="N41" s="43">
        <f ca="1">_xll.QUtils_ErrorReplace(IF($B41="S 0303",0,_xll.BDP("LM"&amp;N$5&amp;"D"&amp;$B41&amp;" Comdty","PX_SETTLE")),0)</f>
        <v>-733</v>
      </c>
      <c r="O41" s="6"/>
      <c r="P41" s="7">
        <f ca="1"/>
        <v>-733</v>
      </c>
      <c r="Q41" s="33">
        <f t="shared" ca="1" si="8"/>
        <v>2081.5</v>
      </c>
      <c r="R41" s="34">
        <f t="shared" ca="1" si="9"/>
        <v>6109</v>
      </c>
      <c r="S41" s="6">
        <f t="shared" ca="1" si="10"/>
        <v>2292.5</v>
      </c>
      <c r="T41" s="7">
        <f t="shared" ca="1" si="11"/>
        <v>12453</v>
      </c>
      <c r="W41" s="1">
        <f ca="1">_xll.QDates_SpecificWeekday(EDATE(W40,1),"Wednesday",1)</f>
        <v>44566</v>
      </c>
      <c r="X41" t="str">
        <f t="shared" ca="1" si="5"/>
        <v>JAN22</v>
      </c>
      <c r="Y41" s="19">
        <f ca="1">_xll.BDP(Y$1&amp;" "&amp;$X41&amp;" 10DP VOL LME Comdty","PX_LAST")/100</f>
        <v>0.19559627532958984</v>
      </c>
      <c r="Z41" s="20">
        <f ca="1">_xll.BDP(Y$1&amp;" "&amp;$X41&amp;" 25DP VOL LME Comdty","PX_LAST")/100</f>
        <v>0.18689817428588867</v>
      </c>
      <c r="AA41" s="25">
        <f ca="1">_xll.BDP(Y$1&amp;" "&amp;$X41&amp;" 50D VOL LME Comdty","PX_LAST")/100</f>
        <v>0.18129980087280273</v>
      </c>
      <c r="AB41" s="20">
        <f ca="1">_xll.BDP(Y$1&amp;" "&amp;$X41&amp;" 25DC VOL LME Comdty","PX_LAST")/100</f>
        <v>0.18869468688964844</v>
      </c>
      <c r="AC41" s="21">
        <f ca="1">_xll.BDP(Y$1&amp;" "&amp;$X41&amp;" 10DC VOL LME Comdty","PX_LAST")/100</f>
        <v>0.19609542846679687</v>
      </c>
      <c r="AD41" s="28">
        <f ca="1">_xll.BDP(AD$1&amp;" "&amp;$X41&amp;" 10DP VOL LME Comdty","PX_LAST")/100</f>
        <v>0.23679452896118164</v>
      </c>
      <c r="AE41" s="29">
        <f ca="1">_xll.BDP(AD$1&amp;" "&amp;$X41&amp;" 25DP VOL LME Comdty","PX_LAST")/100</f>
        <v>0.22019609451293945</v>
      </c>
      <c r="AF41" s="30">
        <f ca="1">_xll.BDP(AD$1&amp;" "&amp;$X41&amp;" 50D VOL LME Comdty","PX_LAST")/100</f>
        <v>0.19920114517211915</v>
      </c>
      <c r="AG41" s="29">
        <f ca="1">_xll.BDP(AD$1&amp;" "&amp;$X41&amp;" 25DC VOL LME Comdty","PX_LAST")/100</f>
        <v>0.20339710235595704</v>
      </c>
      <c r="AH41" s="31">
        <f ca="1">_xll.BDP(AD$1&amp;" "&amp;$X41&amp;" 10DC VOL LME Comdty","PX_LAST")/100</f>
        <v>0.20609807968139648</v>
      </c>
      <c r="AI41" s="11">
        <f t="shared" ca="1" si="6"/>
        <v>0.23930147171020508</v>
      </c>
      <c r="AJ41" s="11">
        <f t="shared" ca="1" si="7"/>
        <v>0.29879829406738279</v>
      </c>
      <c r="AL41" s="1"/>
      <c r="AR41" s="1"/>
    </row>
    <row r="42" spans="1:51" x14ac:dyDescent="0.25">
      <c r="A42" t="str">
        <f ca="1">IF(D42=m3Date,"03",_xll.QDates_GetMonthCodeAndYear(D42,2))</f>
        <v>Z21</v>
      </c>
      <c r="B42" t="str">
        <f t="shared" ca="1" si="12"/>
        <v>S 03Z21</v>
      </c>
      <c r="D42" s="1">
        <f ca="1">_xll.QDates_NextLMECurveDate(D41,m3Date,FALSE)</f>
        <v>44545</v>
      </c>
      <c r="E42" s="43">
        <f ca="1">_xll.QUtils_ErrorReplace(IF($B42="S 0303",0,_xll.BDP("LM"&amp;E$5&amp;"D"&amp;$B42&amp;" Comdty","PX_SETTLE")),0)</f>
        <v>-213</v>
      </c>
      <c r="F42" s="44"/>
      <c r="G42" s="45">
        <f ca="1"/>
        <v>-213</v>
      </c>
      <c r="H42" s="43">
        <f ca="1">_xll.QUtils_ErrorReplace(IF($B42="S 0303",0,_xll.BDP("LM"&amp;H$5&amp;"D"&amp;$B42&amp;" Comdty","PX_SETTLE")),0)</f>
        <v>-71</v>
      </c>
      <c r="I42" s="44"/>
      <c r="J42" s="45">
        <f ca="1"/>
        <v>-71</v>
      </c>
      <c r="K42" s="43">
        <f ca="1">_xll.QUtils_ErrorReplace(IF($B42="S 0303",0,_xll.BDP("LM"&amp;K$5&amp;"D"&amp;$B42&amp;" Comdty","PX_SETTLE")),0)</f>
        <v>296.5</v>
      </c>
      <c r="L42" s="44"/>
      <c r="M42" s="45">
        <f ca="1"/>
        <v>296.5</v>
      </c>
      <c r="N42" s="43">
        <f ca="1">_xll.QUtils_ErrorReplace(IF($B42="S 0303",0,_xll.BDP("LM"&amp;N$5&amp;"D"&amp;$B42&amp;" Comdty","PX_SETTLE")),0)</f>
        <v>-755</v>
      </c>
      <c r="O42" s="6"/>
      <c r="P42" s="7">
        <f ca="1"/>
        <v>-755</v>
      </c>
      <c r="Q42" s="33">
        <f t="shared" ca="1" si="8"/>
        <v>2086</v>
      </c>
      <c r="R42" s="34">
        <f t="shared" ca="1" si="9"/>
        <v>6110.5</v>
      </c>
      <c r="S42" s="6">
        <f t="shared" ca="1" si="10"/>
        <v>2283.5</v>
      </c>
      <c r="T42" s="7">
        <f t="shared" ca="1" si="11"/>
        <v>12475</v>
      </c>
      <c r="W42" s="1">
        <f ca="1">_xll.QDates_SpecificWeekday(EDATE(W41,1),"Wednesday",1)</f>
        <v>44594</v>
      </c>
      <c r="X42" t="str">
        <f t="shared" ca="1" si="5"/>
        <v>FEB22</v>
      </c>
      <c r="Y42" s="19">
        <f ca="1">_xll.BDP(Y$1&amp;" "&amp;$X42&amp;" 10DP VOL LME Comdty","PX_LAST")/100</f>
        <v>0.19549631118774413</v>
      </c>
      <c r="Z42" s="20">
        <f ca="1">_xll.BDP(Y$1&amp;" "&amp;$X42&amp;" 25DP VOL LME Comdty","PX_LAST")/100</f>
        <v>0.18679821014404296</v>
      </c>
      <c r="AA42" s="25">
        <f ca="1">_xll.BDP(Y$1&amp;" "&amp;$X42&amp;" 50D VOL LME Comdty","PX_LAST")/100</f>
        <v>0.1811998176574707</v>
      </c>
      <c r="AB42" s="20">
        <f ca="1">_xll.BDP(Y$1&amp;" "&amp;$X42&amp;" 25DC VOL LME Comdty","PX_LAST")/100</f>
        <v>0.1884946632385254</v>
      </c>
      <c r="AC42" s="21">
        <f ca="1">_xll.BDP(Y$1&amp;" "&amp;$X42&amp;" 10DC VOL LME Comdty","PX_LAST")/100</f>
        <v>0.19609546661376953</v>
      </c>
      <c r="AD42" s="28">
        <f ca="1">_xll.BDP(AD$1&amp;" "&amp;$X42&amp;" 10DP VOL LME Comdty","PX_LAST")/100</f>
        <v>0.23679458618164062</v>
      </c>
      <c r="AE42" s="29">
        <f ca="1">_xll.BDP(AD$1&amp;" "&amp;$X42&amp;" 25DP VOL LME Comdty","PX_LAST")/100</f>
        <v>0.22019615173339843</v>
      </c>
      <c r="AF42" s="30">
        <f ca="1">_xll.BDP(AD$1&amp;" "&amp;$X42&amp;" 50D VOL LME Comdty","PX_LAST")/100</f>
        <v>0.19920116424560547</v>
      </c>
      <c r="AG42" s="29">
        <f ca="1">_xll.BDP(AD$1&amp;" "&amp;$X42&amp;" 25DC VOL LME Comdty","PX_LAST")/100</f>
        <v>0.20349708557128907</v>
      </c>
      <c r="AH42" s="31">
        <f ca="1">_xll.BDP(AD$1&amp;" "&amp;$X42&amp;" 10DC VOL LME Comdty","PX_LAST")/100</f>
        <v>0.20609806060791017</v>
      </c>
      <c r="AI42" s="11">
        <f t="shared" ca="1" si="6"/>
        <v>0.23930147171020508</v>
      </c>
      <c r="AJ42" s="11">
        <f t="shared" ca="1" si="7"/>
        <v>0.29879829406738279</v>
      </c>
      <c r="AL42" s="1"/>
      <c r="AR42" s="1"/>
    </row>
    <row r="43" spans="1:51" x14ac:dyDescent="0.25">
      <c r="A43" t="str">
        <f ca="1">IF(D43=m3Date,"03",_xll.QDates_GetMonthCodeAndYear(D43,2))</f>
        <v>F22</v>
      </c>
      <c r="B43" t="str">
        <f t="shared" ca="1" si="12"/>
        <v>S 03F22</v>
      </c>
      <c r="D43" s="1">
        <f ca="1">_xll.QDates_NextLMECurveDate(D42,m3Date,FALSE)</f>
        <v>44580</v>
      </c>
      <c r="E43" s="43">
        <f ca="1">_xll.QUtils_ErrorReplace(IF($B43="S 0303",0,_xll.BDP("LM"&amp;E$5&amp;"D"&amp;$B43&amp;" Comdty","PX_SETTLE")),0)</f>
        <v>-220.75</v>
      </c>
      <c r="F43" s="44"/>
      <c r="G43" s="45">
        <f ca="1"/>
        <v>-220.75</v>
      </c>
      <c r="H43" s="43">
        <f ca="1">_xll.QUtils_ErrorReplace(IF($B43="S 0303",0,_xll.BDP("LM"&amp;H$5&amp;"D"&amp;$B43&amp;" Comdty","PX_SETTLE")),0)</f>
        <v>-72.5</v>
      </c>
      <c r="I43" s="44"/>
      <c r="J43" s="45">
        <f ca="1"/>
        <v>-72.5</v>
      </c>
      <c r="K43" s="43">
        <f ca="1">_xll.QUtils_ErrorReplace(IF($B43="S 0303",0,_xll.BDP("LM"&amp;K$5&amp;"D"&amp;$B43&amp;" Comdty","PX_SETTLE")),0)</f>
        <v>303.5</v>
      </c>
      <c r="L43" s="44"/>
      <c r="M43" s="45">
        <f ca="1"/>
        <v>303.5</v>
      </c>
      <c r="N43" s="43">
        <f ca="1">_xll.QUtils_ErrorReplace(IF($B43="S 0303",0,_xll.BDP("LM"&amp;N$5&amp;"D"&amp;$B43&amp;" Comdty","PX_SETTLE")),0)</f>
        <v>-778</v>
      </c>
      <c r="O43" s="6"/>
      <c r="P43" s="7">
        <f ca="1"/>
        <v>-778</v>
      </c>
      <c r="Q43" s="33">
        <f t="shared" ca="1" si="8"/>
        <v>2093.75</v>
      </c>
      <c r="R43" s="34">
        <f t="shared" ca="1" si="9"/>
        <v>6112</v>
      </c>
      <c r="S43" s="6">
        <f t="shared" ca="1" si="10"/>
        <v>2276.5</v>
      </c>
      <c r="T43" s="7">
        <f t="shared" ca="1" si="11"/>
        <v>12498</v>
      </c>
      <c r="W43" s="1">
        <f ca="1">_xll.QDates_SpecificWeekday(EDATE(W42,1),"Wednesday",1)</f>
        <v>44622</v>
      </c>
      <c r="X43" t="str">
        <f t="shared" ca="1" si="5"/>
        <v>MAR22</v>
      </c>
      <c r="Y43" s="19">
        <f ca="1">_xll.BDP(Y$1&amp;" "&amp;$X43&amp;" 10DP VOL LME Comdty","PX_LAST")/100</f>
        <v>0.19549636840820311</v>
      </c>
      <c r="Z43" s="20">
        <f ca="1">_xll.BDP(Y$1&amp;" "&amp;$X43&amp;" 25DP VOL LME Comdty","PX_LAST")/100</f>
        <v>0.18689825057983397</v>
      </c>
      <c r="AA43" s="25">
        <f ca="1">_xll.BDP(Y$1&amp;" "&amp;$X43&amp;" 50D VOL LME Comdty","PX_LAST")/100</f>
        <v>0.18119983673095702</v>
      </c>
      <c r="AB43" s="20">
        <f ca="1">_xll.BDP(Y$1&amp;" "&amp;$X43&amp;" 25DC VOL LME Comdty","PX_LAST")/100</f>
        <v>0.18849468231201172</v>
      </c>
      <c r="AC43" s="21">
        <f ca="1">_xll.BDP(Y$1&amp;" "&amp;$X43&amp;" 10DC VOL LME Comdty","PX_LAST")/100</f>
        <v>0.19599546432495119</v>
      </c>
      <c r="AD43" s="28">
        <f ca="1">_xll.BDP(AD$1&amp;" "&amp;$X43&amp;" 10DP VOL LME Comdty","PX_LAST")/100</f>
        <v>0.23679460525512697</v>
      </c>
      <c r="AE43" s="29">
        <f ca="1">_xll.BDP(AD$1&amp;" "&amp;$X43&amp;" 25DP VOL LME Comdty","PX_LAST")/100</f>
        <v>0.22019622802734376</v>
      </c>
      <c r="AF43" s="30">
        <f ca="1">_xll.BDP(AD$1&amp;" "&amp;$X43&amp;" 50D VOL LME Comdty","PX_LAST")/100</f>
        <v>0.19920118331909178</v>
      </c>
      <c r="AG43" s="29">
        <f ca="1">_xll.BDP(AD$1&amp;" "&amp;$X43&amp;" 25DC VOL LME Comdty","PX_LAST")/100</f>
        <v>0.20349706649780275</v>
      </c>
      <c r="AH43" s="31">
        <f ca="1">_xll.BDP(AD$1&amp;" "&amp;$X43&amp;" 10DC VOL LME Comdty","PX_LAST")/100</f>
        <v>0.20609804153442382</v>
      </c>
      <c r="AI43" s="11">
        <f t="shared" ca="1" si="6"/>
        <v>0.23930147171020508</v>
      </c>
      <c r="AJ43" s="11">
        <f t="shared" ca="1" si="7"/>
        <v>0.29879829406738279</v>
      </c>
      <c r="AL43" s="1"/>
      <c r="AR43" s="1"/>
    </row>
    <row r="44" spans="1:51" x14ac:dyDescent="0.25">
      <c r="A44" t="str">
        <f ca="1">IF(D44=m3Date,"03",_xll.QDates_GetMonthCodeAndYear(D44,2))</f>
        <v>G22</v>
      </c>
      <c r="B44" t="str">
        <f t="shared" ca="1" si="12"/>
        <v>S 03G22</v>
      </c>
      <c r="D44" s="1">
        <f ca="1">_xll.QDates_NextLMECurveDate(D43,m3Date,FALSE)</f>
        <v>44608</v>
      </c>
      <c r="E44" s="43">
        <f ca="1">_xll.QUtils_ErrorReplace(IF($B44="S 0303",0,_xll.BDP("LM"&amp;E$5&amp;"D"&amp;$B44&amp;" Comdty","PX_SETTLE")),0)</f>
        <v>-227</v>
      </c>
      <c r="F44" s="44"/>
      <c r="G44" s="45">
        <f ca="1"/>
        <v>-227</v>
      </c>
      <c r="H44" s="43">
        <f ca="1">_xll.QUtils_ErrorReplace(IF($B44="S 0303",0,_xll.BDP("LM"&amp;H$5&amp;"D"&amp;$B44&amp;" Comdty","PX_SETTLE")),0)</f>
        <v>-74</v>
      </c>
      <c r="I44" s="44"/>
      <c r="J44" s="45">
        <f ca="1"/>
        <v>-74</v>
      </c>
      <c r="K44" s="43">
        <f ca="1">_xll.QUtils_ErrorReplace(IF($B44="S 0303",0,_xll.BDP("LM"&amp;K$5&amp;"D"&amp;$B44&amp;" Comdty","PX_SETTLE")),0)</f>
        <v>310.5</v>
      </c>
      <c r="L44" s="44"/>
      <c r="M44" s="45">
        <f ca="1"/>
        <v>310.5</v>
      </c>
      <c r="N44" s="43">
        <f ca="1">_xll.QUtils_ErrorReplace(IF($B44="S 0303",0,_xll.BDP("LM"&amp;N$5&amp;"D"&amp;$B44&amp;" Comdty","PX_SETTLE")),0)</f>
        <v>-801</v>
      </c>
      <c r="O44" s="6"/>
      <c r="P44" s="7">
        <f ca="1"/>
        <v>-801</v>
      </c>
      <c r="Q44" s="33">
        <f t="shared" ca="1" si="8"/>
        <v>2100</v>
      </c>
      <c r="R44" s="34">
        <f t="shared" ca="1" si="9"/>
        <v>6113.5</v>
      </c>
      <c r="S44" s="6">
        <f t="shared" ca="1" si="10"/>
        <v>2269.5</v>
      </c>
      <c r="T44" s="7">
        <f t="shared" ca="1" si="11"/>
        <v>12521</v>
      </c>
      <c r="W44" s="1">
        <f ca="1">_xll.QDates_SpecificWeekday(EDATE(W43,1),"Wednesday",1)</f>
        <v>44657</v>
      </c>
      <c r="X44" t="str">
        <f t="shared" ca="1" si="5"/>
        <v>APR22</v>
      </c>
      <c r="Y44" s="19">
        <f ca="1">_xll.BDP(Y$1&amp;" "&amp;$X44&amp;" 10DP VOL LME Comdty","PX_LAST")/100</f>
        <v>0.19519643783569335</v>
      </c>
      <c r="Z44" s="20">
        <f ca="1">_xll.BDP(Y$1&amp;" "&amp;$X44&amp;" 25DP VOL LME Comdty","PX_LAST")/100</f>
        <v>0.18689828872680664</v>
      </c>
      <c r="AA44" s="25">
        <f ca="1">_xll.BDP(Y$1&amp;" "&amp;$X44&amp;" 50D VOL LME Comdty","PX_LAST")/100</f>
        <v>0.18119983673095702</v>
      </c>
      <c r="AB44" s="20">
        <f ca="1">_xll.BDP(Y$1&amp;" "&amp;$X44&amp;" 25DC VOL LME Comdty","PX_LAST")/100</f>
        <v>0.1884946632385254</v>
      </c>
      <c r="AC44" s="21">
        <f ca="1">_xll.BDP(Y$1&amp;" "&amp;$X44&amp;" 10DC VOL LME Comdty","PX_LAST")/100</f>
        <v>0.1959954833984375</v>
      </c>
      <c r="AD44" s="28">
        <f ca="1">_xll.BDP(AD$1&amp;" "&amp;$X44&amp;" 10DP VOL LME Comdty","PX_LAST")/100</f>
        <v>0.23689460754394531</v>
      </c>
      <c r="AE44" s="29">
        <f ca="1">_xll.BDP(AD$1&amp;" "&amp;$X44&amp;" 25DP VOL LME Comdty","PX_LAST")/100</f>
        <v>0.22019630432128906</v>
      </c>
      <c r="AF44" s="30">
        <f ca="1">_xll.BDP(AD$1&amp;" "&amp;$X44&amp;" 50D VOL LME Comdty","PX_LAST")/100</f>
        <v>0.19920120239257813</v>
      </c>
      <c r="AG44" s="29">
        <f ca="1">_xll.BDP(AD$1&amp;" "&amp;$X44&amp;" 25DC VOL LME Comdty","PX_LAST")/100</f>
        <v>0.2034970474243164</v>
      </c>
      <c r="AH44" s="31">
        <f ca="1">_xll.BDP(AD$1&amp;" "&amp;$X44&amp;" 10DC VOL LME Comdty","PX_LAST")/100</f>
        <v>0.20609800338745118</v>
      </c>
      <c r="AI44" s="11">
        <f t="shared" ca="1" si="6"/>
        <v>0.23930147171020508</v>
      </c>
      <c r="AJ44" s="11">
        <f t="shared" ca="1" si="7"/>
        <v>0.29879829406738279</v>
      </c>
      <c r="AL44" s="1"/>
      <c r="AR44" s="1"/>
    </row>
    <row r="45" spans="1:51" x14ac:dyDescent="0.25">
      <c r="A45" t="str">
        <f ca="1">IF(D45=m3Date,"03",_xll.QDates_GetMonthCodeAndYear(D45,2))</f>
        <v>H22</v>
      </c>
      <c r="B45" t="str">
        <f t="shared" ca="1" si="12"/>
        <v>S 03H22</v>
      </c>
      <c r="D45" s="1">
        <f ca="1">_xll.QDates_NextLMECurveDate(D44,m3Date,FALSE)</f>
        <v>44636</v>
      </c>
      <c r="E45" s="43">
        <f ca="1">_xll.QUtils_ErrorReplace(IF($B45="S 0303",0,_xll.BDP("LM"&amp;E$5&amp;"D"&amp;$B45&amp;" Comdty","PX_SETTLE")),0)</f>
        <v>-233.25</v>
      </c>
      <c r="F45" s="44"/>
      <c r="G45" s="45">
        <f ca="1"/>
        <v>-233.25</v>
      </c>
      <c r="H45" s="43">
        <f ca="1">_xll.QUtils_ErrorReplace(IF($B45="S 0303",0,_xll.BDP("LM"&amp;H$5&amp;"D"&amp;$B45&amp;" Comdty","PX_SETTLE")),0)</f>
        <v>-75.5</v>
      </c>
      <c r="I45" s="44"/>
      <c r="J45" s="45">
        <f ca="1"/>
        <v>-75.5</v>
      </c>
      <c r="K45" s="43">
        <f ca="1">_xll.QUtils_ErrorReplace(IF($B45="S 0303",0,_xll.BDP("LM"&amp;K$5&amp;"D"&amp;$B45&amp;" Comdty","PX_SETTLE")),0)</f>
        <v>317.5</v>
      </c>
      <c r="L45" s="44"/>
      <c r="M45" s="45">
        <f ca="1"/>
        <v>317.5</v>
      </c>
      <c r="N45" s="43">
        <f ca="1">_xll.QUtils_ErrorReplace(IF($B45="S 0303",0,_xll.BDP("LM"&amp;N$5&amp;"D"&amp;$B45&amp;" Comdty","PX_SETTLE")),0)</f>
        <v>-824</v>
      </c>
      <c r="O45" s="6"/>
      <c r="P45" s="7">
        <f ca="1"/>
        <v>-824</v>
      </c>
      <c r="Q45" s="33">
        <f t="shared" ca="1" si="8"/>
        <v>2106.25</v>
      </c>
      <c r="R45" s="34">
        <f t="shared" ca="1" si="9"/>
        <v>6115</v>
      </c>
      <c r="S45" s="6">
        <f t="shared" ca="1" si="10"/>
        <v>2262.5</v>
      </c>
      <c r="T45" s="7">
        <f t="shared" ca="1" si="11"/>
        <v>12544</v>
      </c>
      <c r="W45" s="1">
        <f ca="1">_xll.QDates_SpecificWeekday(EDATE(W44,1),"Wednesday",1)</f>
        <v>44685</v>
      </c>
      <c r="X45" t="str">
        <f t="shared" ca="1" si="5"/>
        <v>MAY22</v>
      </c>
      <c r="Y45" s="22">
        <f ca="1">_xll.BDP(Y$1&amp;" "&amp;$X45&amp;" 10DP VOL LME Comdty","PX_LAST")/100</f>
        <v>0.19479648590087892</v>
      </c>
      <c r="Z45" s="23">
        <f ca="1">_xll.BDP(Y$1&amp;" "&amp;$X45&amp;" 25DP VOL LME Comdty","PX_LAST")/100</f>
        <v>0.18649831771850586</v>
      </c>
      <c r="AA45" s="26">
        <f ca="1">_xll.BDP(Y$1&amp;" "&amp;$X45&amp;" 50D VOL LME Comdty","PX_LAST")/100</f>
        <v>0.18079982757568358</v>
      </c>
      <c r="AB45" s="23">
        <f ca="1">_xll.BDP(Y$1&amp;" "&amp;$X45&amp;" 25DC VOL LME Comdty","PX_LAST")/100</f>
        <v>0.18809463500976562</v>
      </c>
      <c r="AC45" s="24">
        <f ca="1">_xll.BDP(Y$1&amp;" "&amp;$X45&amp;" 10DC VOL LME Comdty","PX_LAST")/100</f>
        <v>0.19559547424316406</v>
      </c>
      <c r="AD45" s="28">
        <f ca="1">_xll.BDP(AD$1&amp;" "&amp;$X45&amp;" 10DP VOL LME Comdty","PX_LAST")/100</f>
        <v>0.23689460754394531</v>
      </c>
      <c r="AE45" s="29">
        <f ca="1">_xll.BDP(AD$1&amp;" "&amp;$X45&amp;" 25DP VOL LME Comdty","PX_LAST")/100</f>
        <v>0.22019636154174804</v>
      </c>
      <c r="AF45" s="30">
        <f ca="1">_xll.BDP(AD$1&amp;" "&amp;$X45&amp;" 50D VOL LME Comdty","PX_LAST")/100</f>
        <v>0.19920120239257813</v>
      </c>
      <c r="AG45" s="29">
        <f ca="1">_xll.BDP(AD$1&amp;" "&amp;$X45&amp;" 25DC VOL LME Comdty","PX_LAST")/100</f>
        <v>0.20359701156616211</v>
      </c>
      <c r="AH45" s="31">
        <f ca="1">_xll.BDP(AD$1&amp;" "&amp;$X45&amp;" 10DC VOL LME Comdty","PX_LAST")/100</f>
        <v>0.20619798660278321</v>
      </c>
      <c r="AI45" s="11">
        <f t="shared" ca="1" si="6"/>
        <v>0.23930147171020508</v>
      </c>
      <c r="AJ45" s="11">
        <f t="shared" ca="1" si="7"/>
        <v>0.29879829406738279</v>
      </c>
      <c r="AL45" s="1"/>
      <c r="AR45" s="1"/>
    </row>
    <row r="46" spans="1:51" x14ac:dyDescent="0.25">
      <c r="A46" t="str">
        <f ca="1">IF(D46=m3Date,"03",_xll.QDates_GetMonthCodeAndYear(D46,2))</f>
        <v>J22</v>
      </c>
      <c r="B46" t="str">
        <f t="shared" ca="1" si="12"/>
        <v>S 03J22</v>
      </c>
      <c r="D46" s="1">
        <f ca="1">_xll.QDates_NextLMECurveDate(D45,m3Date,FALSE)</f>
        <v>44671</v>
      </c>
      <c r="E46" s="43">
        <f ca="1">_xll.QUtils_ErrorReplace(IF($B46="S 0303",0,_xll.BDP("LM"&amp;E$5&amp;"D"&amp;$B46&amp;" Comdty","PX_SETTLE")),0)</f>
        <v>-241</v>
      </c>
      <c r="F46" s="44"/>
      <c r="G46" s="45">
        <f ca="1"/>
        <v>-241</v>
      </c>
      <c r="H46" s="43">
        <f ca="1">_xll.QUtils_ErrorReplace(IF($B46="S 0303",0,_xll.BDP("LM"&amp;H$5&amp;"D"&amp;$B46&amp;" Comdty","PX_SETTLE")),0)</f>
        <v>-77</v>
      </c>
      <c r="I46" s="44"/>
      <c r="J46" s="45">
        <f ca="1"/>
        <v>-77</v>
      </c>
      <c r="K46" s="43">
        <f ca="1">_xll.QUtils_ErrorReplace(IF($B46="S 0303",0,_xll.BDP("LM"&amp;K$5&amp;"D"&amp;$B46&amp;" Comdty","PX_SETTLE")),0)</f>
        <v>324.5</v>
      </c>
      <c r="L46" s="44"/>
      <c r="M46" s="45">
        <f ca="1"/>
        <v>324.5</v>
      </c>
      <c r="N46" s="43">
        <f ca="1">_xll.QUtils_ErrorReplace(IF($B46="S 0303",0,_xll.BDP("LM"&amp;N$5&amp;"D"&amp;$B46&amp;" Comdty","PX_SETTLE")),0)</f>
        <v>-847</v>
      </c>
      <c r="O46" s="6"/>
      <c r="P46" s="7">
        <f ca="1"/>
        <v>-847</v>
      </c>
      <c r="Q46" s="33">
        <f t="shared" ca="1" si="8"/>
        <v>2114</v>
      </c>
      <c r="R46" s="34">
        <f t="shared" ca="1" si="9"/>
        <v>6116.5</v>
      </c>
      <c r="S46" s="6">
        <f t="shared" ca="1" si="10"/>
        <v>2255.5</v>
      </c>
      <c r="T46" s="7">
        <f t="shared" ca="1" si="11"/>
        <v>12567</v>
      </c>
      <c r="Z46" s="11"/>
      <c r="AA46" s="11"/>
      <c r="AB46" s="11"/>
      <c r="AC46" s="11"/>
      <c r="AL46" s="1"/>
      <c r="AR46" s="1"/>
    </row>
    <row r="47" spans="1:51" x14ac:dyDescent="0.25">
      <c r="A47" t="str">
        <f ca="1">IF(D47=m3Date,"03",_xll.QDates_GetMonthCodeAndYear(D47,2))</f>
        <v>K22</v>
      </c>
      <c r="B47" t="str">
        <f t="shared" ca="1" si="12"/>
        <v>S 03K22</v>
      </c>
      <c r="D47" s="1">
        <f ca="1">_xll.QDates_NextLMECurveDate(D46,m3Date,FALSE)</f>
        <v>44699</v>
      </c>
      <c r="E47" s="43">
        <f ca="1">_xll.QUtils_ErrorReplace(IF($B47="S 0303",0,_xll.BDP("LM"&amp;E$5&amp;"D"&amp;$B47&amp;" Comdty","PX_SETTLE")),0)</f>
        <v>-247</v>
      </c>
      <c r="F47" s="44"/>
      <c r="G47" s="45">
        <f ca="1"/>
        <v>-247</v>
      </c>
      <c r="H47" s="43">
        <f ca="1">_xll.QUtils_ErrorReplace(IF($B47="S 0303",0,_xll.BDP("LM"&amp;H$5&amp;"D"&amp;$B47&amp;" Comdty","PX_SETTLE")),0)</f>
        <v>-78.5</v>
      </c>
      <c r="I47" s="44"/>
      <c r="J47" s="45">
        <f ca="1"/>
        <v>-78.5</v>
      </c>
      <c r="K47" s="43">
        <f ca="1">_xll.QUtils_ErrorReplace(IF($B47="S 0303",0,_xll.BDP("LM"&amp;K$5&amp;"D"&amp;$B47&amp;" Comdty","PX_SETTLE")),0)</f>
        <v>331.5</v>
      </c>
      <c r="L47" s="44"/>
      <c r="M47" s="45">
        <f ca="1"/>
        <v>331.5</v>
      </c>
      <c r="N47" s="43">
        <f ca="1">_xll.QUtils_ErrorReplace(IF($B47="S 0303",0,_xll.BDP("LM"&amp;N$5&amp;"D"&amp;$B47&amp;" Comdty","PX_SETTLE")),0)</f>
        <v>-870</v>
      </c>
      <c r="O47" s="6"/>
      <c r="P47" s="7">
        <f ca="1"/>
        <v>-870</v>
      </c>
      <c r="Q47" s="33">
        <f t="shared" ca="1" si="8"/>
        <v>2120</v>
      </c>
      <c r="R47" s="34">
        <f t="shared" ca="1" si="9"/>
        <v>6118</v>
      </c>
      <c r="S47" s="6">
        <f t="shared" ca="1" si="10"/>
        <v>2248.5</v>
      </c>
      <c r="T47" s="7">
        <f t="shared" ca="1" si="11"/>
        <v>12590</v>
      </c>
      <c r="Z47" s="11"/>
      <c r="AA47" s="11"/>
      <c r="AB47" s="11"/>
      <c r="AC47" s="11"/>
      <c r="AL47" s="1"/>
      <c r="AR47" s="1"/>
    </row>
    <row r="48" spans="1:51" x14ac:dyDescent="0.25">
      <c r="A48" t="str">
        <f ca="1">IF(D48=m3Date,"03",_xll.QDates_GetMonthCodeAndYear(D48,2))</f>
        <v>M22</v>
      </c>
      <c r="B48" t="str">
        <f t="shared" ca="1" si="12"/>
        <v>S 03M22</v>
      </c>
      <c r="D48" s="1">
        <f ca="1">_xll.QDates_NextLMECurveDate(D47,m3Date,FALSE)</f>
        <v>44727</v>
      </c>
      <c r="E48" s="43">
        <f ca="1">_xll.QUtils_ErrorReplace(IF($B48="S 0303",0,_xll.BDP("LM"&amp;E$5&amp;"D"&amp;$B48&amp;" Comdty","PX_SETTLE")),0)</f>
        <v>-253</v>
      </c>
      <c r="F48" s="44"/>
      <c r="G48" s="45">
        <f ca="1"/>
        <v>-253</v>
      </c>
      <c r="H48" s="43">
        <f ca="1">_xll.QUtils_ErrorReplace(IF($B48="S 0303",0,_xll.BDP("LM"&amp;H$5&amp;"D"&amp;$B48&amp;" Comdty","PX_SETTLE")),0)</f>
        <v>-80</v>
      </c>
      <c r="I48" s="44"/>
      <c r="J48" s="45">
        <f ca="1"/>
        <v>-80</v>
      </c>
      <c r="K48" s="43">
        <f ca="1">_xll.QUtils_ErrorReplace(IF($B48="S 0303",0,_xll.BDP("LM"&amp;K$5&amp;"D"&amp;$B48&amp;" Comdty","PX_SETTLE")),0)</f>
        <v>338.5</v>
      </c>
      <c r="L48" s="44"/>
      <c r="M48" s="45">
        <f ca="1"/>
        <v>338.5</v>
      </c>
      <c r="N48" s="43">
        <f ca="1">_xll.QUtils_ErrorReplace(IF($B48="S 0303",0,_xll.BDP("LM"&amp;N$5&amp;"D"&amp;$B48&amp;" Comdty","PX_SETTLE")),0)</f>
        <v>-893</v>
      </c>
      <c r="O48" s="6"/>
      <c r="P48" s="7">
        <f ca="1"/>
        <v>-893</v>
      </c>
      <c r="Q48" s="33">
        <f t="shared" ca="1" si="8"/>
        <v>2126</v>
      </c>
      <c r="R48" s="34">
        <f t="shared" ca="1" si="9"/>
        <v>6119.5</v>
      </c>
      <c r="S48" s="6">
        <f t="shared" ca="1" si="10"/>
        <v>2241.5</v>
      </c>
      <c r="T48" s="7">
        <f t="shared" ca="1" si="11"/>
        <v>12613</v>
      </c>
      <c r="Z48" s="11"/>
      <c r="AA48" s="11"/>
      <c r="AB48" s="11"/>
      <c r="AC48" s="11"/>
      <c r="AL48" s="1"/>
      <c r="AR48" s="1"/>
    </row>
    <row r="49" spans="1:44" x14ac:dyDescent="0.25">
      <c r="A49" t="str">
        <f ca="1">IF(D49=m3Date,"03",_xll.QDates_GetMonthCodeAndYear(D49,2))</f>
        <v>N22</v>
      </c>
      <c r="B49" t="str">
        <f t="shared" ca="1" si="12"/>
        <v>S 03N22</v>
      </c>
      <c r="D49" s="1">
        <f ca="1">_xll.QDates_NextLMECurveDate(D48,m3Date,FALSE)</f>
        <v>44762</v>
      </c>
      <c r="E49" s="43">
        <f ca="1">_xll.QUtils_ErrorReplace(IF($B49="S 0303",0,_xll.BDP("LM"&amp;E$5&amp;"D"&amp;$B49&amp;" Comdty","PX_SETTLE")),0)</f>
        <v>-260.25</v>
      </c>
      <c r="F49" s="44"/>
      <c r="G49" s="45">
        <f ca="1"/>
        <v>-260.25</v>
      </c>
      <c r="H49" s="43">
        <f ca="1">_xll.QUtils_ErrorReplace(IF($B49="S 0303",0,_xll.BDP("LM"&amp;H$5&amp;"D"&amp;$B49&amp;" Comdty","PX_SETTLE")),0)</f>
        <v>-81.5</v>
      </c>
      <c r="I49" s="44"/>
      <c r="J49" s="45">
        <f ca="1"/>
        <v>-81.5</v>
      </c>
      <c r="K49" s="43">
        <f ca="1">_xll.QUtils_ErrorReplace(IF($B49="S 0303",0,_xll.BDP("LM"&amp;K$5&amp;"D"&amp;$B49&amp;" Comdty","PX_SETTLE")),0)</f>
        <v>346.5</v>
      </c>
      <c r="L49" s="44"/>
      <c r="M49" s="45">
        <f ca="1"/>
        <v>346.5</v>
      </c>
      <c r="N49" s="43">
        <f ca="1">_xll.QUtils_ErrorReplace(IF($B49="S 0303",0,_xll.BDP("LM"&amp;N$5&amp;"D"&amp;$B49&amp;" Comdty","PX_SETTLE")),0)</f>
        <v>-916</v>
      </c>
      <c r="O49" s="6"/>
      <c r="P49" s="7">
        <f ca="1"/>
        <v>-916</v>
      </c>
      <c r="Q49" s="33">
        <f t="shared" ca="1" si="8"/>
        <v>2133.25</v>
      </c>
      <c r="R49" s="34">
        <f t="shared" ca="1" si="9"/>
        <v>6121</v>
      </c>
      <c r="S49" s="6">
        <f t="shared" ca="1" si="10"/>
        <v>2233.5</v>
      </c>
      <c r="T49" s="7">
        <f t="shared" ca="1" si="11"/>
        <v>12636</v>
      </c>
      <c r="Z49" s="11"/>
      <c r="AA49" s="11"/>
      <c r="AB49" s="11"/>
      <c r="AC49" s="11"/>
      <c r="AL49" s="1"/>
      <c r="AR49" s="1"/>
    </row>
    <row r="50" spans="1:44" x14ac:dyDescent="0.25">
      <c r="A50" t="str">
        <f ca="1">IF(D50=m3Date,"03",_xll.QDates_GetMonthCodeAndYear(D50,2))</f>
        <v>Q22</v>
      </c>
      <c r="B50" t="str">
        <f t="shared" ca="1" si="12"/>
        <v>S 03Q22</v>
      </c>
      <c r="D50" s="1">
        <f ca="1">_xll.QDates_NextLMECurveDate(D49,m3Date,FALSE)</f>
        <v>44790</v>
      </c>
      <c r="E50" s="43">
        <f ca="1">_xll.QUtils_ErrorReplace(IF($B50="S 0303",0,_xll.BDP("LM"&amp;E$5&amp;"D"&amp;$B50&amp;" Comdty","PX_SETTLE")),0)</f>
        <v>-266.25</v>
      </c>
      <c r="F50" s="44"/>
      <c r="G50" s="45">
        <f ca="1"/>
        <v>-266.25</v>
      </c>
      <c r="H50" s="43">
        <f ca="1">_xll.QUtils_ErrorReplace(IF($B50="S 0303",0,_xll.BDP("LM"&amp;H$5&amp;"D"&amp;$B50&amp;" Comdty","PX_SETTLE")),0)</f>
        <v>-83</v>
      </c>
      <c r="I50" s="44"/>
      <c r="J50" s="45">
        <f ca="1"/>
        <v>-83</v>
      </c>
      <c r="K50" s="43">
        <f ca="1">_xll.QUtils_ErrorReplace(IF($B50="S 0303",0,_xll.BDP("LM"&amp;K$5&amp;"D"&amp;$B50&amp;" Comdty","PX_SETTLE")),0)</f>
        <v>354.5</v>
      </c>
      <c r="L50" s="44"/>
      <c r="M50" s="45">
        <f ca="1"/>
        <v>354.5</v>
      </c>
      <c r="N50" s="43">
        <f ca="1">_xll.QUtils_ErrorReplace(IF($B50="S 0303",0,_xll.BDP("LM"&amp;N$5&amp;"D"&amp;$B50&amp;" Comdty","PX_SETTLE")),0)</f>
        <v>-939</v>
      </c>
      <c r="O50" s="6"/>
      <c r="P50" s="7">
        <f ca="1"/>
        <v>-939</v>
      </c>
      <c r="Q50" s="33">
        <f t="shared" ca="1" si="8"/>
        <v>2139.25</v>
      </c>
      <c r="R50" s="34">
        <f t="shared" ca="1" si="9"/>
        <v>6122.5</v>
      </c>
      <c r="S50" s="6">
        <f t="shared" ca="1" si="10"/>
        <v>2225.5</v>
      </c>
      <c r="T50" s="7">
        <f t="shared" ca="1" si="11"/>
        <v>12659</v>
      </c>
      <c r="Z50" s="11"/>
      <c r="AA50" s="11"/>
      <c r="AB50" s="11"/>
      <c r="AC50" s="11"/>
      <c r="AL50" s="1"/>
      <c r="AR50" s="1"/>
    </row>
    <row r="51" spans="1:44" x14ac:dyDescent="0.25">
      <c r="A51" t="str">
        <f ca="1">IF(D51=m3Date,"03",_xll.QDates_GetMonthCodeAndYear(D51,2))</f>
        <v>U22</v>
      </c>
      <c r="B51" t="str">
        <f t="shared" ca="1" si="12"/>
        <v>S 03U22</v>
      </c>
      <c r="D51" s="1">
        <f ca="1">_xll.QDates_NextLMECurveDate(D50,m3Date,FALSE)</f>
        <v>44825</v>
      </c>
      <c r="E51" s="43">
        <f ca="1">_xll.QUtils_ErrorReplace(IF($B51="S 0303",0,_xll.BDP("LM"&amp;E$5&amp;"D"&amp;$B51&amp;" Comdty","PX_SETTLE")),0)</f>
        <v>-272.75</v>
      </c>
      <c r="F51" s="44"/>
      <c r="G51" s="45">
        <f ca="1"/>
        <v>-272.75</v>
      </c>
      <c r="H51" s="43">
        <f ca="1">_xll.QUtils_ErrorReplace(IF($B51="S 0303",0,_xll.BDP("LM"&amp;H$5&amp;"D"&amp;$B51&amp;" Comdty","PX_SETTLE")),0)</f>
        <v>-84.5</v>
      </c>
      <c r="I51" s="44"/>
      <c r="J51" s="45">
        <f ca="1"/>
        <v>-84.5</v>
      </c>
      <c r="K51" s="43">
        <f ca="1">_xll.QUtils_ErrorReplace(IF($B51="S 0303",0,_xll.BDP("LM"&amp;K$5&amp;"D"&amp;$B51&amp;" Comdty","PX_SETTLE")),0)</f>
        <v>362.5</v>
      </c>
      <c r="L51" s="44"/>
      <c r="M51" s="45">
        <f ca="1"/>
        <v>362.5</v>
      </c>
      <c r="N51" s="43">
        <f ca="1">_xll.QUtils_ErrorReplace(IF($B51="S 0303",0,_xll.BDP("LM"&amp;N$5&amp;"D"&amp;$B51&amp;" Comdty","PX_SETTLE")),0)</f>
        <v>-962</v>
      </c>
      <c r="O51" s="6"/>
      <c r="P51" s="7">
        <f ca="1"/>
        <v>-962</v>
      </c>
      <c r="Q51" s="33">
        <f t="shared" ca="1" si="8"/>
        <v>2145.75</v>
      </c>
      <c r="R51" s="34">
        <f t="shared" ca="1" si="9"/>
        <v>6124</v>
      </c>
      <c r="S51" s="6">
        <f t="shared" ca="1" si="10"/>
        <v>2217.5</v>
      </c>
      <c r="T51" s="7">
        <f t="shared" ca="1" si="11"/>
        <v>12682</v>
      </c>
      <c r="Z51" s="11"/>
      <c r="AA51" s="11"/>
      <c r="AB51" s="11"/>
      <c r="AC51" s="11"/>
      <c r="AL51" s="1"/>
      <c r="AR51" s="1"/>
    </row>
    <row r="52" spans="1:44" x14ac:dyDescent="0.25">
      <c r="A52" t="str">
        <f ca="1">IF(D52=m3Date,"03",_xll.QDates_GetMonthCodeAndYear(D52,2))</f>
        <v>V22</v>
      </c>
      <c r="B52" t="str">
        <f t="shared" ca="1" si="12"/>
        <v>S 03V22</v>
      </c>
      <c r="D52" s="1">
        <f ca="1">_xll.QDates_NextLMECurveDate(D51,m3Date,FALSE)</f>
        <v>44853</v>
      </c>
      <c r="E52" s="43">
        <f ca="1">_xll.QUtils_ErrorReplace(IF($B52="S 0303",0,_xll.BDP("LM"&amp;E$5&amp;"D"&amp;$B52&amp;" Comdty","PX_SETTLE")),0)</f>
        <v>-278.75</v>
      </c>
      <c r="F52" s="44"/>
      <c r="G52" s="45">
        <f ca="1"/>
        <v>-278.75</v>
      </c>
      <c r="H52" s="43">
        <f ca="1">_xll.QUtils_ErrorReplace(IF($B52="S 0303",0,_xll.BDP("LM"&amp;H$5&amp;"D"&amp;$B52&amp;" Comdty","PX_SETTLE")),0)</f>
        <v>-86</v>
      </c>
      <c r="I52" s="44"/>
      <c r="J52" s="45">
        <f ca="1"/>
        <v>-86</v>
      </c>
      <c r="K52" s="43">
        <f ca="1">_xll.QUtils_ErrorReplace(IF($B52="S 0303",0,_xll.BDP("LM"&amp;K$5&amp;"D"&amp;$B52&amp;" Comdty","PX_SETTLE")),0)</f>
        <v>370.5</v>
      </c>
      <c r="L52" s="44"/>
      <c r="M52" s="45">
        <f ca="1"/>
        <v>370.5</v>
      </c>
      <c r="N52" s="43">
        <f ca="1">_xll.QUtils_ErrorReplace(IF($B52="S 0303",0,_xll.BDP("LM"&amp;N$5&amp;"D"&amp;$B52&amp;" Comdty","PX_SETTLE")),0)</f>
        <v>-985</v>
      </c>
      <c r="O52" s="6"/>
      <c r="P52" s="7">
        <f ca="1"/>
        <v>-985</v>
      </c>
      <c r="Q52" s="33">
        <f t="shared" ca="1" si="8"/>
        <v>2151.75</v>
      </c>
      <c r="R52" s="34">
        <f t="shared" ca="1" si="9"/>
        <v>6125.5</v>
      </c>
      <c r="S52" s="6">
        <f t="shared" ca="1" si="10"/>
        <v>2209.5</v>
      </c>
      <c r="T52" s="7">
        <f t="shared" ca="1" si="11"/>
        <v>12705</v>
      </c>
      <c r="Z52" s="11"/>
      <c r="AA52" s="11"/>
      <c r="AB52" s="11"/>
      <c r="AC52" s="11"/>
      <c r="AL52" s="1"/>
      <c r="AR52" s="1"/>
    </row>
    <row r="53" spans="1:44" x14ac:dyDescent="0.25">
      <c r="A53" t="str">
        <f ca="1">IF(D53=m3Date,"03",_xll.QDates_GetMonthCodeAndYear(D53,2))</f>
        <v>X22</v>
      </c>
      <c r="B53" t="str">
        <f t="shared" ca="1" si="12"/>
        <v>S 03X22</v>
      </c>
      <c r="D53" s="1">
        <f ca="1">_xll.QDates_NextLMECurveDate(D52,m3Date,FALSE)</f>
        <v>44881</v>
      </c>
      <c r="E53" s="43">
        <f ca="1">_xll.QUtils_ErrorReplace(IF($B53="S 0303",0,_xll.BDP("LM"&amp;E$5&amp;"D"&amp;$B53&amp;" Comdty","PX_SETTLE")),0)</f>
        <v>-284.25</v>
      </c>
      <c r="F53" s="44"/>
      <c r="G53" s="45">
        <f ca="1"/>
        <v>-284.25</v>
      </c>
      <c r="H53" s="43">
        <f ca="1">_xll.QUtils_ErrorReplace(IF($B53="S 0303",0,_xll.BDP("LM"&amp;H$5&amp;"D"&amp;$B53&amp;" Comdty","PX_SETTLE")),0)</f>
        <v>-87</v>
      </c>
      <c r="I53" s="44"/>
      <c r="J53" s="45">
        <f ca="1"/>
        <v>-87</v>
      </c>
      <c r="K53" s="43">
        <f ca="1">_xll.QUtils_ErrorReplace(IF($B53="S 0303",0,_xll.BDP("LM"&amp;K$5&amp;"D"&amp;$B53&amp;" Comdty","PX_SETTLE")),0)</f>
        <v>378.5</v>
      </c>
      <c r="L53" s="44"/>
      <c r="M53" s="45">
        <f ca="1"/>
        <v>378.5</v>
      </c>
      <c r="N53" s="43">
        <f ca="1">_xll.QUtils_ErrorReplace(IF($B53="S 0303",0,_xll.BDP("LM"&amp;N$5&amp;"D"&amp;$B53&amp;" Comdty","PX_SETTLE")),0)</f>
        <v>-1008</v>
      </c>
      <c r="O53" s="6"/>
      <c r="P53" s="7">
        <f ca="1"/>
        <v>-1008</v>
      </c>
      <c r="Q53" s="33">
        <f t="shared" ca="1" si="8"/>
        <v>2157.25</v>
      </c>
      <c r="R53" s="34">
        <f t="shared" ca="1" si="9"/>
        <v>6126.5</v>
      </c>
      <c r="S53" s="6">
        <f t="shared" ca="1" si="10"/>
        <v>2201.5</v>
      </c>
      <c r="T53" s="7">
        <f t="shared" ca="1" si="11"/>
        <v>12728</v>
      </c>
      <c r="Z53" s="11"/>
      <c r="AA53" s="11"/>
      <c r="AB53" s="11"/>
      <c r="AC53" s="11"/>
      <c r="AL53" s="1"/>
      <c r="AR53" s="1"/>
    </row>
    <row r="54" spans="1:44" x14ac:dyDescent="0.25">
      <c r="A54" t="str">
        <f ca="1">IF(D54=m3Date,"03",_xll.QDates_GetMonthCodeAndYear(D54,2))</f>
        <v>Z22</v>
      </c>
      <c r="B54" t="str">
        <f t="shared" ca="1" si="12"/>
        <v>S 03Z22</v>
      </c>
      <c r="D54" s="1">
        <f ca="1">_xll.QDates_NextLMECurveDate(D53,m3Date,FALSE)</f>
        <v>44916</v>
      </c>
      <c r="E54" s="43">
        <f ca="1">_xll.QUtils_ErrorReplace(IF($B54="S 0303",0,_xll.BDP("LM"&amp;E$5&amp;"D"&amp;$B54&amp;" Comdty","PX_SETTLE")),0)</f>
        <v>-291</v>
      </c>
      <c r="F54" s="44"/>
      <c r="G54" s="45">
        <f ca="1"/>
        <v>-291</v>
      </c>
      <c r="H54" s="43">
        <f ca="1">_xll.QUtils_ErrorReplace(IF($B54="S 0303",0,_xll.BDP("LM"&amp;H$5&amp;"D"&amp;$B54&amp;" Comdty","PX_SETTLE")),0)</f>
        <v>-88</v>
      </c>
      <c r="I54" s="44"/>
      <c r="J54" s="45">
        <f ca="1"/>
        <v>-88</v>
      </c>
      <c r="K54" s="43">
        <f ca="1">_xll.QUtils_ErrorReplace(IF($B54="S 0303",0,_xll.BDP("LM"&amp;K$5&amp;"D"&amp;$B54&amp;" Comdty","PX_SETTLE")),0)</f>
        <v>386.5</v>
      </c>
      <c r="L54" s="44"/>
      <c r="M54" s="45">
        <f ca="1"/>
        <v>386.5</v>
      </c>
      <c r="N54" s="43">
        <f ca="1">_xll.QUtils_ErrorReplace(IF($B54="S 0303",0,_xll.BDP("LM"&amp;N$5&amp;"D"&amp;$B54&amp;" Comdty","PX_SETTLE")),0)</f>
        <v>-1030</v>
      </c>
      <c r="O54" s="6"/>
      <c r="P54" s="7">
        <f ca="1"/>
        <v>-1030</v>
      </c>
      <c r="Q54" s="33">
        <f t="shared" ca="1" si="8"/>
        <v>2164</v>
      </c>
      <c r="R54" s="34">
        <f t="shared" ca="1" si="9"/>
        <v>6127.5</v>
      </c>
      <c r="S54" s="6">
        <f t="shared" ca="1" si="10"/>
        <v>2193.5</v>
      </c>
      <c r="T54" s="7">
        <f t="shared" ca="1" si="11"/>
        <v>12750</v>
      </c>
      <c r="Z54" s="11"/>
      <c r="AA54" s="11"/>
      <c r="AB54" s="11"/>
      <c r="AC54" s="11"/>
      <c r="AL54" s="1"/>
      <c r="AR54" s="1"/>
    </row>
    <row r="55" spans="1:44" x14ac:dyDescent="0.25">
      <c r="A55" t="str">
        <f ca="1">IF(D55=m3Date,"03",_xll.QDates_GetMonthCodeAndYear(D55,2))</f>
        <v>F23</v>
      </c>
      <c r="B55" t="str">
        <f t="shared" ca="1" si="12"/>
        <v>S 03F23</v>
      </c>
      <c r="D55" s="1">
        <f ca="1">_xll.QDates_NextLMECurveDate(D54,m3Date,FALSE)</f>
        <v>44944</v>
      </c>
      <c r="E55" s="43">
        <f ca="1">_xll.QUtils_ErrorReplace(IF($B55="S 0303",0,_xll.BDP("LM"&amp;E$5&amp;"D"&amp;$B55&amp;" Comdty","PX_SETTLE")),0)</f>
        <v>-296.75</v>
      </c>
      <c r="F55" s="44"/>
      <c r="G55" s="45">
        <f ca="1"/>
        <v>-296.75</v>
      </c>
      <c r="H55" s="43">
        <f ca="1">_xll.QUtils_ErrorReplace(IF($B55="S 0303",0,_xll.BDP("LM"&amp;H$5&amp;"D"&amp;$B55&amp;" Comdty","PX_SETTLE")),0)</f>
        <v>-88</v>
      </c>
      <c r="I55" s="44"/>
      <c r="J55" s="45">
        <f ca="1"/>
        <v>-88</v>
      </c>
      <c r="K55" s="43">
        <f ca="1">_xll.QUtils_ErrorReplace(IF($B55="S 0303",0,_xll.BDP("LM"&amp;K$5&amp;"D"&amp;$B55&amp;" Comdty","PX_SETTLE")),0)</f>
        <v>386.5</v>
      </c>
      <c r="L55" s="44"/>
      <c r="M55" s="45">
        <f ca="1"/>
        <v>386.5</v>
      </c>
      <c r="N55" s="43">
        <f ca="1">_xll.QUtils_ErrorReplace(IF($B55="S 0303",0,_xll.BDP("LM"&amp;N$5&amp;"D"&amp;$B55&amp;" Comdty","PX_SETTLE")),0)</f>
        <v>-1054</v>
      </c>
      <c r="O55" s="6"/>
      <c r="P55" s="7">
        <f ca="1"/>
        <v>-1054</v>
      </c>
      <c r="Q55" s="33">
        <f t="shared" ca="1" si="8"/>
        <v>2169.75</v>
      </c>
      <c r="R55" s="34">
        <f t="shared" ca="1" si="9"/>
        <v>6127.5</v>
      </c>
      <c r="S55" s="6">
        <f t="shared" ca="1" si="10"/>
        <v>2193.5</v>
      </c>
      <c r="T55" s="7">
        <f t="shared" ca="1" si="11"/>
        <v>12774</v>
      </c>
      <c r="Z55" s="11"/>
      <c r="AA55" s="11"/>
      <c r="AB55" s="11"/>
      <c r="AC55" s="11"/>
      <c r="AL55" s="1"/>
      <c r="AR55" s="1"/>
    </row>
    <row r="56" spans="1:44" x14ac:dyDescent="0.25">
      <c r="A56" t="str">
        <f ca="1">IF(D56=m3Date,"03",_xll.QDates_GetMonthCodeAndYear(D56,2))</f>
        <v>G23</v>
      </c>
      <c r="B56" t="str">
        <f t="shared" ca="1" si="12"/>
        <v>S 03G23</v>
      </c>
      <c r="D56" s="1">
        <f ca="1">_xll.QDates_NextLMECurveDate(D55,m3Date,FALSE)</f>
        <v>44972</v>
      </c>
      <c r="E56" s="43">
        <f ca="1">_xll.QUtils_ErrorReplace(IF($B56="S 0303",0,_xll.BDP("LM"&amp;E$5&amp;"D"&amp;$B56&amp;" Comdty","PX_SETTLE")),0)</f>
        <v>-302.5</v>
      </c>
      <c r="F56" s="44"/>
      <c r="G56" s="45">
        <f ca="1"/>
        <v>-302.5</v>
      </c>
      <c r="H56" s="43">
        <f ca="1">_xll.QUtils_ErrorReplace(IF($B56="S 0303",0,_xll.BDP("LM"&amp;H$5&amp;"D"&amp;$B56&amp;" Comdty","PX_SETTLE")),0)</f>
        <v>-88</v>
      </c>
      <c r="I56" s="44"/>
      <c r="J56" s="45">
        <f ca="1"/>
        <v>-88</v>
      </c>
      <c r="K56" s="43">
        <f ca="1">_xll.QUtils_ErrorReplace(IF($B56="S 0303",0,_xll.BDP("LM"&amp;K$5&amp;"D"&amp;$B56&amp;" Comdty","PX_SETTLE")),0)</f>
        <v>386.5</v>
      </c>
      <c r="L56" s="44"/>
      <c r="M56" s="45">
        <f ca="1"/>
        <v>386.5</v>
      </c>
      <c r="N56" s="43">
        <f ca="1">_xll.QUtils_ErrorReplace(IF($B56="S 0303",0,_xll.BDP("LM"&amp;N$5&amp;"D"&amp;$B56&amp;" Comdty","PX_SETTLE")),0)</f>
        <v>-1078</v>
      </c>
      <c r="O56" s="6"/>
      <c r="P56" s="7">
        <f ca="1"/>
        <v>-1078</v>
      </c>
      <c r="Q56" s="33">
        <f t="shared" ca="1" si="8"/>
        <v>2175.5</v>
      </c>
      <c r="R56" s="34">
        <f t="shared" ca="1" si="9"/>
        <v>6127.5</v>
      </c>
      <c r="S56" s="6">
        <f t="shared" ca="1" si="10"/>
        <v>2193.5</v>
      </c>
      <c r="T56" s="7">
        <f t="shared" ca="1" si="11"/>
        <v>12798</v>
      </c>
      <c r="Z56" s="11"/>
      <c r="AA56" s="11"/>
      <c r="AB56" s="11"/>
      <c r="AC56" s="11"/>
      <c r="AL56" s="1"/>
      <c r="AR56" s="1"/>
    </row>
    <row r="57" spans="1:44" x14ac:dyDescent="0.25">
      <c r="A57" t="str">
        <f ca="1">IF(D57=m3Date,"03",_xll.QDates_GetMonthCodeAndYear(D57,2))</f>
        <v>H23</v>
      </c>
      <c r="B57" t="str">
        <f t="shared" ca="1" si="12"/>
        <v>S 03H23</v>
      </c>
      <c r="D57" s="1">
        <f ca="1">_xll.QDates_NextLMECurveDate(D56,m3Date,FALSE)</f>
        <v>45000</v>
      </c>
      <c r="E57" s="43">
        <f ca="1">_xll.QUtils_ErrorReplace(IF($B57="S 0303",0,_xll.BDP("LM"&amp;E$5&amp;"D"&amp;$B57&amp;" Comdty","PX_SETTLE")),0)</f>
        <v>-308.25</v>
      </c>
      <c r="F57" s="44"/>
      <c r="G57" s="45">
        <f ca="1"/>
        <v>-308.25</v>
      </c>
      <c r="H57" s="43">
        <f ca="1">_xll.QUtils_ErrorReplace(IF($B57="S 0303",0,_xll.BDP("LM"&amp;H$5&amp;"D"&amp;$B57&amp;" Comdty","PX_SETTLE")),0)</f>
        <v>-88</v>
      </c>
      <c r="I57" s="44"/>
      <c r="J57" s="45">
        <f ca="1"/>
        <v>-88</v>
      </c>
      <c r="K57" s="43">
        <f ca="1">_xll.QUtils_ErrorReplace(IF($B57="S 0303",0,_xll.BDP("LM"&amp;K$5&amp;"D"&amp;$B57&amp;" Comdty","PX_SETTLE")),0)</f>
        <v>386.5</v>
      </c>
      <c r="L57" s="44"/>
      <c r="M57" s="45">
        <f ca="1"/>
        <v>386.5</v>
      </c>
      <c r="N57" s="43">
        <f ca="1">_xll.QUtils_ErrorReplace(IF($B57="S 0303",0,_xll.BDP("LM"&amp;N$5&amp;"D"&amp;$B57&amp;" Comdty","PX_SETTLE")),0)</f>
        <v>-1102</v>
      </c>
      <c r="O57" s="6"/>
      <c r="P57" s="7">
        <f ca="1"/>
        <v>-1102</v>
      </c>
      <c r="Q57" s="33">
        <f t="shared" ca="1" si="8"/>
        <v>2181.25</v>
      </c>
      <c r="R57" s="34">
        <f t="shared" ca="1" si="9"/>
        <v>6127.5</v>
      </c>
      <c r="S57" s="6">
        <f t="shared" ca="1" si="10"/>
        <v>2193.5</v>
      </c>
      <c r="T57" s="7">
        <f t="shared" ca="1" si="11"/>
        <v>12822</v>
      </c>
      <c r="Z57" s="11"/>
      <c r="AA57" s="11"/>
      <c r="AB57" s="11"/>
      <c r="AC57" s="11"/>
      <c r="AL57" s="1"/>
      <c r="AR57" s="1"/>
    </row>
    <row r="58" spans="1:44" x14ac:dyDescent="0.25">
      <c r="A58" t="str">
        <f ca="1">IF(D58=m3Date,"03",_xll.QDates_GetMonthCodeAndYear(D58,2))</f>
        <v>J23</v>
      </c>
      <c r="B58" t="str">
        <f t="shared" ca="1" si="12"/>
        <v>S 03J23</v>
      </c>
      <c r="D58" s="1">
        <f ca="1">_xll.QDates_NextLMECurveDate(D57,m3Date,FALSE)</f>
        <v>45035</v>
      </c>
      <c r="E58" s="43">
        <f ca="1">_xll.QUtils_ErrorReplace(IF($B58="S 0303",0,_xll.BDP("LM"&amp;E$5&amp;"D"&amp;$B58&amp;" Comdty","PX_SETTLE")),0)</f>
        <v>-314.25</v>
      </c>
      <c r="F58" s="44"/>
      <c r="G58" s="45">
        <f ca="1"/>
        <v>-314.25</v>
      </c>
      <c r="H58" s="43">
        <f ca="1">_xll.QUtils_ErrorReplace(IF($B58="S 0303",0,_xll.BDP("LM"&amp;H$5&amp;"D"&amp;$B58&amp;" Comdty","PX_SETTLE")),0)</f>
        <v>-88</v>
      </c>
      <c r="I58" s="44"/>
      <c r="J58" s="45">
        <f ca="1"/>
        <v>-88</v>
      </c>
      <c r="K58" s="43">
        <f ca="1">_xll.QUtils_ErrorReplace(IF($B58="S 0303",0,_xll.BDP("LM"&amp;K$5&amp;"D"&amp;$B58&amp;" Comdty","PX_SETTLE")),0)</f>
        <v>386.5</v>
      </c>
      <c r="L58" s="44"/>
      <c r="M58" s="45">
        <f ca="1"/>
        <v>386.5</v>
      </c>
      <c r="N58" s="43">
        <f ca="1">_xll.QUtils_ErrorReplace(IF($B58="S 0303",0,_xll.BDP("LM"&amp;N$5&amp;"D"&amp;$B58&amp;" Comdty","PX_SETTLE")),0)</f>
        <v>-1126</v>
      </c>
      <c r="O58" s="6"/>
      <c r="P58" s="7">
        <f ca="1"/>
        <v>-1126</v>
      </c>
      <c r="Q58" s="33">
        <f t="shared" ca="1" si="8"/>
        <v>2187.25</v>
      </c>
      <c r="R58" s="34">
        <f t="shared" ca="1" si="9"/>
        <v>6127.5</v>
      </c>
      <c r="S58" s="6">
        <f t="shared" ca="1" si="10"/>
        <v>2193.5</v>
      </c>
      <c r="T58" s="7">
        <f t="shared" ca="1" si="11"/>
        <v>12846</v>
      </c>
      <c r="Z58" s="11"/>
      <c r="AA58" s="11"/>
      <c r="AB58" s="11"/>
      <c r="AC58" s="11"/>
      <c r="AL58" s="1"/>
      <c r="AR58" s="1"/>
    </row>
    <row r="59" spans="1:44" x14ac:dyDescent="0.25">
      <c r="A59" t="str">
        <f ca="1">IF(D59=m3Date,"03",_xll.QDates_GetMonthCodeAndYear(D59,2))</f>
        <v>K23</v>
      </c>
      <c r="B59" t="str">
        <f t="shared" ca="1" si="12"/>
        <v>S 03K23</v>
      </c>
      <c r="D59" s="1">
        <f ca="1">_xll.QDates_NextLMECurveDate(D58,m3Date,FALSE)</f>
        <v>45063</v>
      </c>
      <c r="E59" s="43">
        <f ca="1">_xll.QUtils_ErrorReplace(IF($B59="S 0303",0,_xll.BDP("LM"&amp;E$5&amp;"D"&amp;$B59&amp;" Comdty","PX_SETTLE")),0)</f>
        <v>-320.25</v>
      </c>
      <c r="F59" s="46"/>
      <c r="G59" s="47">
        <f ca="1"/>
        <v>-320.25</v>
      </c>
      <c r="H59" s="43">
        <f ca="1">_xll.QUtils_ErrorReplace(IF($B59="S 0303",0,_xll.BDP("LM"&amp;H$5&amp;"D"&amp;$B59&amp;" Comdty","PX_SETTLE")),0)</f>
        <v>-88</v>
      </c>
      <c r="I59" s="46"/>
      <c r="J59" s="47">
        <f ca="1"/>
        <v>-88</v>
      </c>
      <c r="K59" s="43">
        <f ca="1">_xll.QUtils_ErrorReplace(IF($B59="S 0303",0,_xll.BDP("LM"&amp;K$5&amp;"D"&amp;$B59&amp;" Comdty","PX_SETTLE")),0)</f>
        <v>386.5</v>
      </c>
      <c r="L59" s="46"/>
      <c r="M59" s="47">
        <f ca="1"/>
        <v>386.5</v>
      </c>
      <c r="N59" s="43">
        <f ca="1">_xll.QUtils_ErrorReplace(IF($B59="S 0303",0,_xll.BDP("LM"&amp;N$5&amp;"D"&amp;$B59&amp;" Comdty","PX_SETTLE")),0)</f>
        <v>-1150</v>
      </c>
      <c r="O59" s="8"/>
      <c r="P59" s="9">
        <f ca="1"/>
        <v>-1150</v>
      </c>
      <c r="Q59" s="33">
        <f t="shared" ca="1" si="8"/>
        <v>2193.25</v>
      </c>
      <c r="R59" s="34">
        <f t="shared" ca="1" si="9"/>
        <v>6127.5</v>
      </c>
      <c r="S59" s="6">
        <f t="shared" ca="1" si="10"/>
        <v>2193.5</v>
      </c>
      <c r="T59" s="7">
        <f t="shared" ca="1" si="11"/>
        <v>12870</v>
      </c>
      <c r="Z59" s="11"/>
      <c r="AA59" s="11"/>
      <c r="AB59" s="11"/>
      <c r="AC59" s="11"/>
      <c r="AL59" s="1"/>
      <c r="AR59" s="1"/>
    </row>
    <row r="60" spans="1:44" x14ac:dyDescent="0.25">
      <c r="AL60" s="1"/>
      <c r="AR60" s="1"/>
    </row>
    <row r="61" spans="1:44" x14ac:dyDescent="0.25">
      <c r="AL61" s="1"/>
      <c r="AR61" s="1"/>
    </row>
    <row r="62" spans="1:44" x14ac:dyDescent="0.25">
      <c r="H62" s="130" t="s">
        <v>87</v>
      </c>
      <c r="I62" s="131"/>
      <c r="J62" s="130" t="s">
        <v>88</v>
      </c>
      <c r="K62" s="131"/>
      <c r="N62" s="57"/>
      <c r="O62" s="85">
        <v>0.03</v>
      </c>
      <c r="P62" s="130" t="s">
        <v>87</v>
      </c>
      <c r="Q62" s="131"/>
      <c r="R62" s="130" t="s">
        <v>88</v>
      </c>
      <c r="S62" s="131"/>
      <c r="T62" s="57"/>
      <c r="AL62" s="1"/>
      <c r="AR62" s="1"/>
    </row>
    <row r="63" spans="1:44" ht="15.75" thickBot="1" x14ac:dyDescent="0.3">
      <c r="A63" t="s">
        <v>85</v>
      </c>
      <c r="D63" s="114">
        <v>-0.1</v>
      </c>
      <c r="G63" s="77" t="s">
        <v>80</v>
      </c>
      <c r="H63" s="64">
        <v>0.25</v>
      </c>
      <c r="I63" s="65">
        <v>0.1</v>
      </c>
      <c r="J63" s="64">
        <v>0.25</v>
      </c>
      <c r="K63" s="65">
        <v>0.1</v>
      </c>
      <c r="N63" s="57"/>
      <c r="O63" s="77" t="s">
        <v>80</v>
      </c>
      <c r="P63" s="64">
        <v>0.25</v>
      </c>
      <c r="Q63" s="65">
        <v>0.1</v>
      </c>
      <c r="R63" s="64">
        <v>0.25</v>
      </c>
      <c r="S63" s="65">
        <v>0.1</v>
      </c>
      <c r="T63" s="57"/>
      <c r="AL63" s="1"/>
      <c r="AR63" s="1"/>
    </row>
    <row r="64" spans="1:44" x14ac:dyDescent="0.25">
      <c r="A64" s="70" t="s">
        <v>12</v>
      </c>
      <c r="B64" s="71">
        <f ca="1">_xll.QDates_AddPeriod(cashDate,A64,"F","NYC+LON")</f>
        <v>43494</v>
      </c>
      <c r="C64" s="112">
        <f>_xll.BDP("XAUSR"&amp;A64&amp;" Curncy","PX_LAST")</f>
        <v>2.5299999999999998</v>
      </c>
      <c r="D64" s="72">
        <f t="shared" ref="D64:D71" si="13">(C64+$D$63)/100</f>
        <v>2.4299999999999999E-2</v>
      </c>
      <c r="E64" s="84">
        <f ca="1">_xll.QCurves_GetPrice($V$2,B64)</f>
        <v>1289.2688918500003</v>
      </c>
      <c r="F64" s="70" t="s">
        <v>12</v>
      </c>
      <c r="G64" s="78">
        <f>_xll.BDP("XAUUSDV"&amp;F64&amp;" Comdty","PX_LAST")/100</f>
        <v>8.4350000000000008E-2</v>
      </c>
      <c r="H64" s="66">
        <f>_xll.BDP("XAUUSD25R"&amp;F64&amp;" Comdty","PX_LAST")/100</f>
        <v>1.1775000000000001E-2</v>
      </c>
      <c r="I64" s="67">
        <f>_xll.BDP("XAUUSD10R"&amp;F64&amp;" Comdty","PX_LAST")/100</f>
        <v>2.1150000000000002E-2</v>
      </c>
      <c r="J64" s="66">
        <f>_xll.BDP("XAUUSD25B"&amp;F64&amp;" Comdty","PX_LAST")/100</f>
        <v>5.0749999999999997E-3</v>
      </c>
      <c r="K64" s="67">
        <f>_xll.BDP("XAUUSD10B"&amp;F64&amp;" Comdty","PX_LAST")/100</f>
        <v>1.5449999999999998E-2</v>
      </c>
      <c r="L64" s="74">
        <f ca="1">_xll.QDates_AddPeriod(ValDate,F64,"F","NYC+LON")</f>
        <v>43490</v>
      </c>
      <c r="N64" s="70" t="s">
        <v>12</v>
      </c>
      <c r="O64" s="78">
        <f>_xll.BDP("XPDUSDV"&amp;N64&amp;" Comdty","PX_LAST")/100+$O$62</f>
        <v>0.36549999999999994</v>
      </c>
      <c r="P64" s="66">
        <f>_xll.BDP("XPDUSD25R"&amp;N64&amp;" Comdty","PX_LAST")/100</f>
        <v>7.0000000000000007E-2</v>
      </c>
      <c r="Q64" s="67">
        <f>_xll.BDP("XPDUSD10R"&amp;N64&amp;" Comdty","PX_LAST")/100</f>
        <v>0.14000000000000001</v>
      </c>
      <c r="R64" s="66">
        <f>_xll.BDP("XPDUSD25B"&amp;N64&amp;" Comdty","PX_LAST")/100</f>
        <v>2.2925000000000001E-2</v>
      </c>
      <c r="S64" s="67">
        <f>_xll.BDP("XPDUSD10B"&amp;N64&amp;" Comdty","PX_LAST")/100</f>
        <v>5.6449999999999993E-2</v>
      </c>
      <c r="T64" s="74">
        <f ca="1">_xll.QDates_AddPeriod(ValDate,N64,"F","NYC+LON")</f>
        <v>43490</v>
      </c>
      <c r="AL64" s="1"/>
      <c r="AR64" s="1"/>
    </row>
    <row r="65" spans="1:44" x14ac:dyDescent="0.25">
      <c r="A65" s="73" t="s">
        <v>14</v>
      </c>
      <c r="B65" s="74">
        <f ca="1">_xll.QDates_AddPeriod(cashDate,A65,"MF","NYC+LON")</f>
        <v>43518</v>
      </c>
      <c r="C65" s="110">
        <f>_xll.BDP("XAUSR"&amp;A65&amp;" Curncy","PX_LAST")</f>
        <v>2.58</v>
      </c>
      <c r="D65" s="67">
        <f t="shared" si="13"/>
        <v>2.4799999999999999E-2</v>
      </c>
      <c r="E65" s="84">
        <f ca="1">_xll.QCurves_GetPrice($V$2,B65)</f>
        <v>1291.4120050222223</v>
      </c>
      <c r="F65" s="73" t="s">
        <v>14</v>
      </c>
      <c r="G65" s="78">
        <f>_xll.BDP("XAUUSDV"&amp;F65&amp;" Comdty","PX_LAST")/100</f>
        <v>8.8000000000000009E-2</v>
      </c>
      <c r="H65" s="66">
        <f>_xll.BDP("XAUUSD25R"&amp;F65&amp;" Comdty","PX_LAST")/100</f>
        <v>1.4624999999999999E-2</v>
      </c>
      <c r="I65" s="67">
        <f>_xll.BDP("XAUUSD10R"&amp;F65&amp;" Comdty","PX_LAST")/100</f>
        <v>2.6150000000000003E-2</v>
      </c>
      <c r="J65" s="66">
        <f>_xll.BDP("XAUUSD25B"&amp;F65&amp;" Comdty","PX_LAST")/100</f>
        <v>6.1250000000000002E-3</v>
      </c>
      <c r="K65" s="67">
        <f>_xll.BDP("XAUUSD10B"&amp;F65&amp;" Comdty","PX_LAST")/100</f>
        <v>1.67E-2</v>
      </c>
      <c r="L65" s="74">
        <f ca="1">_xll.QDates_AddPeriod(ValDate,F65,"F","NYC+LON")</f>
        <v>43515</v>
      </c>
      <c r="N65" s="73" t="s">
        <v>14</v>
      </c>
      <c r="O65" s="78">
        <f>_xll.BDP("XPDUSDV"&amp;N65&amp;" Comdty","PX_LAST")/100+$O$62</f>
        <v>0.33999999999999997</v>
      </c>
      <c r="P65" s="66">
        <f>_xll.BDP("XPDUSD25R"&amp;N65&amp;" Comdty","PX_LAST")/100</f>
        <v>6.5000000000000002E-2</v>
      </c>
      <c r="Q65" s="67">
        <f>_xll.BDP("XPDUSD10R"&amp;N65&amp;" Comdty","PX_LAST")/100</f>
        <v>0.13</v>
      </c>
      <c r="R65" s="66">
        <f>_xll.BDP("XPDUSD25B"&amp;N65&amp;" Comdty","PX_LAST")/100</f>
        <v>2.1349999999999997E-2</v>
      </c>
      <c r="S65" s="67">
        <f>_xll.BDP("XPDUSD10B"&amp;N65&amp;" Comdty","PX_LAST")/100</f>
        <v>5.8200000000000002E-2</v>
      </c>
      <c r="T65" s="74">
        <f ca="1">_xll.QDates_AddPeriod(ValDate,N65,"F","NYC+LON")</f>
        <v>43515</v>
      </c>
      <c r="AL65" s="1"/>
      <c r="AR65" s="1"/>
    </row>
    <row r="66" spans="1:44" x14ac:dyDescent="0.25">
      <c r="A66" s="73" t="s">
        <v>15</v>
      </c>
      <c r="B66" s="74">
        <f ca="1">_xll.QDates_AddPeriod(cashDate,A66,"MF","NYC+LON")</f>
        <v>43546</v>
      </c>
      <c r="C66" s="110">
        <f>_xll.BDP("XAUSR"&amp;A66&amp;" Curncy","PX_LAST")</f>
        <v>2.6</v>
      </c>
      <c r="D66" s="67">
        <f t="shared" si="13"/>
        <v>2.5000000000000001E-2</v>
      </c>
      <c r="E66" s="84">
        <f ca="1">_xll.QCurves_GetPrice($V$2,B66)</f>
        <v>1293.939926388889</v>
      </c>
      <c r="F66" s="73" t="s">
        <v>15</v>
      </c>
      <c r="G66" s="78">
        <f>_xll.BDP("XAUUSDV"&amp;F66&amp;" Comdty","PX_LAST")/100</f>
        <v>9.3599999999999989E-2</v>
      </c>
      <c r="H66" s="66">
        <f>_xll.BDP("XAUUSD25R"&amp;F66&amp;" Comdty","PX_LAST")/100</f>
        <v>1.5625E-2</v>
      </c>
      <c r="I66" s="67">
        <f>_xll.BDP("XAUUSD10R"&amp;F66&amp;" Comdty","PX_LAST")/100</f>
        <v>2.8399999999999998E-2</v>
      </c>
      <c r="J66" s="66">
        <f>_xll.BDP("XAUUSD25B"&amp;F66&amp;" Comdty","PX_LAST")/100</f>
        <v>6.2749999999999993E-3</v>
      </c>
      <c r="K66" s="67">
        <f>_xll.BDP("XAUUSD10B"&amp;F66&amp;" Comdty","PX_LAST")/100</f>
        <v>1.7250000000000001E-2</v>
      </c>
      <c r="L66" s="74">
        <f ca="1">_xll.QDates_AddPeriod(ValDate,F66,"F","NYC+LON")</f>
        <v>43542</v>
      </c>
      <c r="N66" s="73" t="s">
        <v>15</v>
      </c>
      <c r="O66" s="78">
        <f>_xll.BDP("XPDUSDV"&amp;N66&amp;" Comdty","PX_LAST")/100+$O$62</f>
        <v>0.33350000000000002</v>
      </c>
      <c r="P66" s="66">
        <f>_xll.BDP("XPDUSD25R"&amp;N66&amp;" Comdty","PX_LAST")/100</f>
        <v>6.6000000000000003E-2</v>
      </c>
      <c r="Q66" s="67">
        <f>_xll.BDP("XPDUSD10R"&amp;N66&amp;" Comdty","PX_LAST")/100</f>
        <v>0.13200000000000001</v>
      </c>
      <c r="R66" s="66">
        <f>_xll.BDP("XPDUSD25B"&amp;N66&amp;" Comdty","PX_LAST")/100</f>
        <v>2.0649999999999998E-2</v>
      </c>
      <c r="S66" s="67">
        <f>_xll.BDP("XPDUSD10B"&amp;N66&amp;" Comdty","PX_LAST")/100</f>
        <v>5.5300000000000002E-2</v>
      </c>
      <c r="T66" s="74">
        <f ca="1">_xll.QDates_AddPeriod(ValDate,N66,"F","NYC+LON")</f>
        <v>43542</v>
      </c>
      <c r="AL66" s="1"/>
      <c r="AR66" s="1"/>
    </row>
    <row r="67" spans="1:44" x14ac:dyDescent="0.25">
      <c r="A67" s="73" t="s">
        <v>10</v>
      </c>
      <c r="B67" s="74">
        <f ca="1">_xll.QDates_AddPeriod(cashDate,A67,"MF","NYC+LON")</f>
        <v>43578</v>
      </c>
      <c r="C67" s="110">
        <f>_xll.BDP("XAUSR"&amp;A67&amp;" Curncy","PX_LAST")</f>
        <v>2.63</v>
      </c>
      <c r="D67" s="67">
        <f t="shared" si="13"/>
        <v>2.53E-2</v>
      </c>
      <c r="E67" s="84">
        <f ca="1">_xll.QCurves_GetPrice($V$2,B67)</f>
        <v>1296.9013386611111</v>
      </c>
      <c r="F67" s="73" t="s">
        <v>10</v>
      </c>
      <c r="G67" s="78">
        <f>_xll.BDP("XAUUSDV"&amp;F67&amp;" Comdty","PX_LAST")/100</f>
        <v>9.849999999999999E-2</v>
      </c>
      <c r="H67" s="66">
        <f>_xll.BDP("XAUUSD25R"&amp;F67&amp;" Comdty","PX_LAST")/100</f>
        <v>1.6475E-2</v>
      </c>
      <c r="I67" s="67">
        <f>_xll.BDP("XAUUSD10R"&amp;F67&amp;" Comdty","PX_LAST")/100</f>
        <v>3.0550000000000001E-2</v>
      </c>
      <c r="J67" s="66">
        <f>_xll.BDP("XAUUSD25B"&amp;F67&amp;" Comdty","PX_LAST")/100</f>
        <v>6.875E-3</v>
      </c>
      <c r="K67" s="67">
        <f>_xll.BDP("XAUUSD10B"&amp;F67&amp;" Comdty","PX_LAST")/100</f>
        <v>1.9400000000000001E-2</v>
      </c>
      <c r="L67" s="74">
        <f ca="1">_xll.QDates_AddPeriod(ValDate,F67,"F","NYC+LON")</f>
        <v>43573</v>
      </c>
      <c r="N67" s="73" t="s">
        <v>10</v>
      </c>
      <c r="O67" s="78">
        <f>_xll.BDP("XPDUSDV"&amp;N67&amp;" Comdty","PX_LAST")/100+$O$62</f>
        <v>0.33150000000000002</v>
      </c>
      <c r="P67" s="66">
        <f>_xll.BDP("XPDUSD25R"&amp;N67&amp;" Comdty","PX_LAST")/100</f>
        <v>6.7000000000000004E-2</v>
      </c>
      <c r="Q67" s="67">
        <f>_xll.BDP("XPDUSD10R"&amp;N67&amp;" Comdty","PX_LAST")/100</f>
        <v>0.13400000000000001</v>
      </c>
      <c r="R67" s="66">
        <f>_xll.BDP("XPDUSD25B"&amp;N67&amp;" Comdty","PX_LAST")/100</f>
        <v>1.9875E-2</v>
      </c>
      <c r="S67" s="67">
        <f>_xll.BDP("XPDUSD10B"&amp;N67&amp;" Comdty","PX_LAST")/100</f>
        <v>5.2350000000000001E-2</v>
      </c>
      <c r="T67" s="74">
        <f ca="1">_xll.QDates_AddPeriod(ValDate,N67,"F","NYC+LON")</f>
        <v>43573</v>
      </c>
      <c r="AL67" s="1"/>
      <c r="AR67" s="1"/>
    </row>
    <row r="68" spans="1:44" x14ac:dyDescent="0.25">
      <c r="A68" s="73" t="s">
        <v>16</v>
      </c>
      <c r="B68" s="74">
        <f ca="1">_xll.QDates_AddPeriod(cashDate,A68,"MF","NYC+LON")</f>
        <v>43668</v>
      </c>
      <c r="C68" s="110">
        <f>_xll.BDP("XAUSR"&amp;A68&amp;" Curncy","PX_LAST")</f>
        <v>2.64</v>
      </c>
      <c r="D68" s="67">
        <f t="shared" si="13"/>
        <v>2.5399999999999999E-2</v>
      </c>
      <c r="E68" s="84">
        <f ca="1">_xll.QCurves_GetPrice($V$2,B68)</f>
        <v>1305.1169041222222</v>
      </c>
      <c r="F68" s="73" t="s">
        <v>16</v>
      </c>
      <c r="G68" s="78">
        <f>_xll.BDP("XAUUSDV"&amp;F68&amp;" Comdty","PX_LAST")/100</f>
        <v>0.10845</v>
      </c>
      <c r="H68" s="66">
        <f>_xll.BDP("XAUUSD25R"&amp;F68&amp;" Comdty","PX_LAST")/100</f>
        <v>1.9E-2</v>
      </c>
      <c r="I68" s="67">
        <f>_xll.BDP("XAUUSD10R"&amp;F68&amp;" Comdty","PX_LAST")/100</f>
        <v>3.5750000000000004E-2</v>
      </c>
      <c r="J68" s="66">
        <f>_xll.BDP("XAUUSD25B"&amp;F68&amp;" Comdty","PX_LAST")/100</f>
        <v>7.9500000000000005E-3</v>
      </c>
      <c r="K68" s="67">
        <f>_xll.BDP("XAUUSD10B"&amp;F68&amp;" Comdty","PX_LAST")/100</f>
        <v>2.2450000000000001E-2</v>
      </c>
      <c r="L68" s="74">
        <f ca="1">_xll.QDates_AddPeriod(ValDate,F68,"F","NYC+LON")</f>
        <v>43664</v>
      </c>
      <c r="N68" s="73" t="s">
        <v>16</v>
      </c>
      <c r="O68" s="78">
        <f>_xll.BDP("XPDUSDV"&amp;N68&amp;" Comdty","PX_LAST")/100+$O$62</f>
        <v>0.32199999999999995</v>
      </c>
      <c r="P68" s="66">
        <f>_xll.BDP("XPDUSD25R"&amp;N68&amp;" Comdty","PX_LAST")/100</f>
        <v>6.8000000000000005E-2</v>
      </c>
      <c r="Q68" s="67">
        <f>_xll.BDP("XPDUSD10R"&amp;N68&amp;" Comdty","PX_LAST")/100</f>
        <v>0.13600000000000001</v>
      </c>
      <c r="R68" s="66">
        <f>_xll.BDP("XPDUSD25B"&amp;N68&amp;" Comdty","PX_LAST")/100</f>
        <v>1.575E-2</v>
      </c>
      <c r="S68" s="67">
        <f>_xll.BDP("XPDUSD10B"&amp;N68&amp;" Comdty","PX_LAST")/100</f>
        <v>4.0149999999999998E-2</v>
      </c>
      <c r="T68" s="74">
        <f ca="1">_xll.QDates_AddPeriod(ValDate,N68,"F","NYC+LON")</f>
        <v>43664</v>
      </c>
      <c r="AL68" s="1"/>
      <c r="AR68" s="1"/>
    </row>
    <row r="69" spans="1:44" x14ac:dyDescent="0.25">
      <c r="A69" s="73" t="s">
        <v>17</v>
      </c>
      <c r="B69" s="74">
        <f ca="1">_xll.QDates_AddPeriod(cashDate,A69,"MF","NYC+LON")</f>
        <v>43760</v>
      </c>
      <c r="C69" s="110">
        <f>_xll.BDP("XAUSR"&amp;A69&amp;" Curncy","PX_LAST")</f>
        <v>2.67</v>
      </c>
      <c r="D69" s="67">
        <f t="shared" si="13"/>
        <v>2.5699999999999997E-2</v>
      </c>
      <c r="E69" s="84">
        <f ca="1">_xll.QCurves_GetPrice($V$2,B69)</f>
        <v>1313.7749095166666</v>
      </c>
      <c r="F69" s="73" t="s">
        <v>17</v>
      </c>
      <c r="G69" s="78">
        <f>_xll.BDP("XAUUSDV"&amp;F69&amp;" Comdty","PX_LAST")/100</f>
        <v>0.11595000000000001</v>
      </c>
      <c r="H69" s="66">
        <f>_xll.BDP("XAUUSD25R"&amp;F69&amp;" Comdty","PX_LAST")/100</f>
        <v>2.0074999999999999E-2</v>
      </c>
      <c r="I69" s="67">
        <f>_xll.BDP("XAUUSD10R"&amp;F69&amp;" Comdty","PX_LAST")/100</f>
        <v>3.85E-2</v>
      </c>
      <c r="J69" s="66">
        <f>_xll.BDP("XAUUSD25B"&amp;F69&amp;" Comdty","PX_LAST")/100</f>
        <v>9.025E-3</v>
      </c>
      <c r="K69" s="67">
        <f>_xll.BDP("XAUUSD10B"&amp;F69&amp;" Comdty","PX_LAST")/100</f>
        <v>2.5649999999999999E-2</v>
      </c>
      <c r="L69" s="74">
        <f ca="1">_xll.QDates_AddPeriod(ValDate,F69,"F","NYC+LON")</f>
        <v>43756</v>
      </c>
      <c r="N69" s="73" t="s">
        <v>17</v>
      </c>
      <c r="O69" s="78">
        <f>_xll.BDP("XPDUSDV"&amp;N69&amp;" Comdty","PX_LAST")/100+$O$62</f>
        <v>0.31499999999999995</v>
      </c>
      <c r="P69" s="66">
        <f>_xll.BDP("XPDUSD25R"&amp;N69&amp;" Comdty","PX_LAST")/100</f>
        <v>6.9000000000000006E-2</v>
      </c>
      <c r="Q69" s="67">
        <f>_xll.BDP("XPDUSD10R"&amp;N69&amp;" Comdty","PX_LAST")/100</f>
        <v>0.13800000000000001</v>
      </c>
      <c r="R69" s="66">
        <f>_xll.BDP("XPDUSD25B"&amp;N69&amp;" Comdty","PX_LAST")/100</f>
        <v>1.6125E-2</v>
      </c>
      <c r="S69" s="67">
        <f>_xll.BDP("XPDUSD10B"&amp;N69&amp;" Comdty","PX_LAST")/100</f>
        <v>4.0224999999999997E-2</v>
      </c>
      <c r="T69" s="74">
        <f ca="1">_xll.QDates_AddPeriod(ValDate,N69,"F","NYC+LON")</f>
        <v>43756</v>
      </c>
      <c r="AL69" s="1"/>
      <c r="AR69" s="1"/>
    </row>
    <row r="70" spans="1:44" x14ac:dyDescent="0.25">
      <c r="A70" s="73" t="s">
        <v>21</v>
      </c>
      <c r="B70" s="74">
        <f ca="1">_xll.QDates_AddPeriod(cashDate,A70,"MF","NYC+LON")</f>
        <v>43852</v>
      </c>
      <c r="C70" s="110">
        <f>_xll.BDP("XAUSR"&amp;A70&amp;" Curncy","PX_LAST")</f>
        <v>2.68</v>
      </c>
      <c r="D70" s="67">
        <f t="shared" si="13"/>
        <v>2.58E-2</v>
      </c>
      <c r="E70" s="84">
        <f ca="1">_xll.QCurves_GetPrice($V$2,B70)</f>
        <v>1322.3691978333334</v>
      </c>
      <c r="F70" s="73" t="s">
        <v>48</v>
      </c>
      <c r="G70" s="78">
        <f>_xll.BDP("XAUUSDV"&amp;F70&amp;" Comdty","PX_LAST")/100</f>
        <v>0.12075</v>
      </c>
      <c r="H70" s="66">
        <f>_xll.BDP("XAUUSD25R"&amp;F70&amp;" Comdty","PX_LAST")/100</f>
        <v>2.0975000000000001E-2</v>
      </c>
      <c r="I70" s="67">
        <f>_xll.BDP("XAUUSD10R"&amp;F70&amp;" Comdty","PX_LAST")/100</f>
        <v>4.1849999999999998E-2</v>
      </c>
      <c r="J70" s="66">
        <f>_xll.BDP("XAUUSD25B"&amp;F70&amp;" Comdty","PX_LAST")/100</f>
        <v>9.9249999999999998E-3</v>
      </c>
      <c r="K70" s="67">
        <f>_xll.BDP("XAUUSD10B"&amp;F70&amp;" Comdty","PX_LAST")/100</f>
        <v>2.8450000000000003E-2</v>
      </c>
      <c r="L70" s="74">
        <f ca="1">_xll.QDates_AddPeriod(ValDate,F70,"F","NYC+LON")</f>
        <v>43851</v>
      </c>
      <c r="N70" s="73" t="s">
        <v>48</v>
      </c>
      <c r="O70" s="78">
        <f>_xll.BDP("XPDUSDV"&amp;N70&amp;" Comdty","PX_LAST")/100+$O$62</f>
        <v>0.31000000000000005</v>
      </c>
      <c r="P70" s="66">
        <f>_xll.BDP("XPDUSD25R"&amp;N70&amp;" Comdty","PX_LAST")/100</f>
        <v>7.0000000000000007E-2</v>
      </c>
      <c r="Q70" s="67">
        <f>_xll.BDP("XPDUSD10R"&amp;N70&amp;" Comdty","PX_LAST")/100</f>
        <v>0.14000000000000001</v>
      </c>
      <c r="R70" s="66">
        <f>_xll.BDP("XPDUSD25B"&amp;N70&amp;" Comdty","PX_LAST")/100</f>
        <v>1.6299999999999999E-2</v>
      </c>
      <c r="S70" s="67">
        <f>_xll.BDP("XPDUSD10B"&amp;N70&amp;" Comdty","PX_LAST")/100</f>
        <v>4.1399999999999999E-2</v>
      </c>
      <c r="T70" s="74">
        <f ca="1">_xll.QDates_AddPeriod(ValDate,N70,"F","NYC+LON")</f>
        <v>43851</v>
      </c>
      <c r="AL70" s="1"/>
      <c r="AR70" s="1"/>
    </row>
    <row r="71" spans="1:44" x14ac:dyDescent="0.25">
      <c r="A71" s="75" t="s">
        <v>19</v>
      </c>
      <c r="B71" s="76">
        <f ca="1">_xll.QDates_AddPeriod(cashDate,A71,"MF","NYC+LON")</f>
        <v>44218</v>
      </c>
      <c r="C71" s="113">
        <f>_xll.BDP("XAUSR"&amp;A71&amp;" Curncy","PX_LAST")</f>
        <v>2.62</v>
      </c>
      <c r="D71" s="69">
        <f t="shared" si="13"/>
        <v>2.52E-2</v>
      </c>
      <c r="E71" s="84">
        <f ca="1">_xll.QCurves_GetPrice($V$2,B71)</f>
        <v>1354.6007322</v>
      </c>
      <c r="F71" s="73" t="s">
        <v>18</v>
      </c>
      <c r="G71" s="78">
        <f>_xll.BDP("XAUUSDV"&amp;F71&amp;" Comdty","PX_LAST")/100</f>
        <v>0.12775</v>
      </c>
      <c r="H71" s="66">
        <f>_xll.BDP("XAUUSD25R"&amp;F71&amp;" Comdty","PX_LAST")/100</f>
        <v>2.1000000000000001E-2</v>
      </c>
      <c r="I71" s="67">
        <f>_xll.BDP("XAUUSD10R"&amp;F71&amp;" Comdty","PX_LAST")/100</f>
        <v>4.1599999999999998E-2</v>
      </c>
      <c r="J71" s="66">
        <f>_xll.BDP("XAUUSD25B"&amp;F71&amp;" Comdty","PX_LAST")/100</f>
        <v>1.0075000000000001E-2</v>
      </c>
      <c r="K71" s="67">
        <f>_xll.BDP("XAUUSD10B"&amp;F71&amp;" Comdty","PX_LAST")/100</f>
        <v>2.8575E-2</v>
      </c>
      <c r="L71" s="74">
        <f ca="1">_xll.QDates_AddPeriod(ValDate,F71,"F","NYC+LON")</f>
        <v>44032</v>
      </c>
      <c r="N71" s="73" t="s">
        <v>18</v>
      </c>
      <c r="O71" s="78">
        <f>_xll.BDP("XPDUSDV"&amp;N71&amp;" Comdty","PX_LAST")/100+$O$62</f>
        <v>0.31620000000000004</v>
      </c>
      <c r="P71" s="66">
        <f>_xll.BDP("XPDUSD25R"&amp;N71&amp;" Comdty","PX_LAST")/100</f>
        <v>7.0000000000000007E-2</v>
      </c>
      <c r="Q71" s="67">
        <f>_xll.BDP("XPDUSD10R"&amp;N71&amp;" Comdty","PX_LAST")/100</f>
        <v>0.14632500000000001</v>
      </c>
      <c r="R71" s="66">
        <f>_xll.BDP("XPDUSD25B"&amp;N71&amp;" Comdty","PX_LAST")/100</f>
        <v>1.5424999999999999E-2</v>
      </c>
      <c r="S71" s="67">
        <f>_xll.BDP("XPDUSD10B"&amp;N71&amp;" Comdty","PX_LAST")/100</f>
        <v>4.1575000000000001E-2</v>
      </c>
      <c r="T71" s="74">
        <f ca="1">_xll.QDates_AddPeriod(ValDate,N71,"F","NYC+LON")</f>
        <v>44032</v>
      </c>
      <c r="AL71" s="1"/>
      <c r="AR71" s="1"/>
    </row>
    <row r="72" spans="1:44" x14ac:dyDescent="0.25">
      <c r="C72" s="84"/>
      <c r="E72" s="84"/>
      <c r="F72" s="73" t="s">
        <v>19</v>
      </c>
      <c r="G72" s="78">
        <f>_xll.BDP("XAUUSDV"&amp;F72&amp;" Comdty","PX_LAST")/100</f>
        <v>0.13175000000000001</v>
      </c>
      <c r="H72" s="66">
        <f>_xll.BDP("XAUUSD25R"&amp;F72&amp;" Comdty","PX_LAST")/100</f>
        <v>2.1899999999999999E-2</v>
      </c>
      <c r="I72" s="67">
        <f>_xll.BDP("XAUUSD10R"&amp;F72&amp;" Comdty","PX_LAST")/100</f>
        <v>4.4249999999999998E-2</v>
      </c>
      <c r="J72" s="66">
        <f>_xll.BDP("XAUUSD25B"&amp;F72&amp;" Comdty","PX_LAST")/100</f>
        <v>1.0500000000000001E-2</v>
      </c>
      <c r="K72" s="67">
        <f>_xll.BDP("XAUUSD10B"&amp;F72&amp;" Comdty","PX_LAST")/100</f>
        <v>3.0249999999999999E-2</v>
      </c>
      <c r="L72" s="74">
        <f ca="1">_xll.QDates_AddPeriod(ValDate,F72,"F","NYC+LON")</f>
        <v>44215</v>
      </c>
      <c r="N72" s="73" t="s">
        <v>19</v>
      </c>
      <c r="O72" s="78">
        <f>_xll.BDP("XPDUSDV"&amp;N72&amp;" Comdty","PX_LAST")/100+$O$62</f>
        <v>0.31999999999999995</v>
      </c>
      <c r="P72" s="66">
        <f>_xll.BDP("XPDUSD25R"&amp;N72&amp;" Comdty","PX_LAST")/100</f>
        <v>7.4224999999999999E-2</v>
      </c>
      <c r="Q72" s="67">
        <f>_xll.BDP("XPDUSD10R"&amp;N72&amp;" Comdty","PX_LAST")/100</f>
        <v>0.16685</v>
      </c>
      <c r="R72" s="66">
        <f>_xll.BDP("XPDUSD25B"&amp;N72&amp;" Comdty","PX_LAST")/100</f>
        <v>1.6299999999999999E-2</v>
      </c>
      <c r="S72" s="67">
        <f>_xll.BDP("XPDUSD10B"&amp;N72&amp;" Comdty","PX_LAST")/100</f>
        <v>4.8075E-2</v>
      </c>
      <c r="T72" s="74">
        <f ca="1">_xll.QDates_AddPeriod(ValDate,N72,"F","NYC+LON")</f>
        <v>44215</v>
      </c>
      <c r="AL72" s="1"/>
      <c r="AR72" s="1"/>
    </row>
    <row r="73" spans="1:44" x14ac:dyDescent="0.25">
      <c r="A73" s="57" t="s">
        <v>106</v>
      </c>
      <c r="B73" s="57"/>
      <c r="C73" s="84"/>
      <c r="D73" s="114">
        <v>-0.5</v>
      </c>
      <c r="E73" s="84"/>
      <c r="F73" s="73" t="s">
        <v>20</v>
      </c>
      <c r="G73" s="78">
        <f>_xll.BDP("XAUUSDV"&amp;F73&amp;" Comdty","PX_LAST")/100</f>
        <v>0.14327500000000001</v>
      </c>
      <c r="H73" s="66">
        <f>_xll.BDP("XAUUSD25R"&amp;F73&amp;" Comdty","PX_LAST")/100</f>
        <v>2.2425E-2</v>
      </c>
      <c r="I73" s="67">
        <f>_xll.BDP("XAUUSD10R"&amp;F73&amp;" Comdty","PX_LAST")/100</f>
        <v>4.5350000000000001E-2</v>
      </c>
      <c r="J73" s="66">
        <f>_xll.BDP("XAUUSD25B"&amp;F73&amp;" Comdty","PX_LAST")/100</f>
        <v>1.04E-2</v>
      </c>
      <c r="K73" s="67">
        <f>_xll.BDP("XAUUSD10B"&amp;F73&amp;" Comdty","PX_LAST")/100</f>
        <v>2.9950000000000001E-2</v>
      </c>
      <c r="L73" s="74">
        <f ca="1">_xll.QDates_AddPeriod(ValDate,F73,"F","NYC+LON")</f>
        <v>44579</v>
      </c>
      <c r="N73" s="73" t="s">
        <v>20</v>
      </c>
      <c r="O73" s="78">
        <f>_xll.BDP("XPDUSDV"&amp;N73&amp;" Comdty","PX_LAST")/100+$O$62</f>
        <v>0.31999999999999995</v>
      </c>
      <c r="P73" s="66">
        <f>_xll.BDP("XPDUSD25R"&amp;N73&amp;" Comdty","PX_LAST")/100</f>
        <v>7.2300000000000003E-2</v>
      </c>
      <c r="Q73" s="67">
        <f>_xll.BDP("XPDUSD10R"&amp;N73&amp;" Comdty","PX_LAST")/100</f>
        <v>0.15975</v>
      </c>
      <c r="R73" s="66">
        <f>_xll.BDP("XPDUSD25B"&amp;N73&amp;" Comdty","PX_LAST")/100</f>
        <v>1.7350000000000001E-2</v>
      </c>
      <c r="S73" s="67">
        <f>_xll.BDP("XPDUSD10B"&amp;N73&amp;" Comdty","PX_LAST")/100</f>
        <v>4.7975000000000004E-2</v>
      </c>
      <c r="T73" s="74">
        <f ca="1">_xll.QDates_AddPeriod(ValDate,N73,"F","NYC+LON")</f>
        <v>44579</v>
      </c>
      <c r="AL73" s="1"/>
      <c r="AR73" s="1"/>
    </row>
    <row r="74" spans="1:44" x14ac:dyDescent="0.25">
      <c r="A74" s="70" t="s">
        <v>12</v>
      </c>
      <c r="B74" s="71">
        <f ca="1">_xll.QDates_AddPeriod(cashDate,A74,"F","NYC+LON")</f>
        <v>43494</v>
      </c>
      <c r="C74" s="112">
        <f>_xll.BDP("XPDSR"&amp;A74&amp;" Curncy","PX_LAST")</f>
        <v>-20</v>
      </c>
      <c r="D74" s="72">
        <f>(C74+$D$73)/100</f>
        <v>-0.20499999999999999</v>
      </c>
      <c r="E74" s="84"/>
      <c r="F74" s="73" t="s">
        <v>86</v>
      </c>
      <c r="G74" s="78">
        <f>_xll.BDP("XAUUSDV"&amp;F74&amp;" Comdty","PX_LAST")/100</f>
        <v>0.15445</v>
      </c>
      <c r="H74" s="66">
        <f>_xll.BDP("XAUUSD25R"&amp;F74&amp;" Comdty","PX_LAST")/100</f>
        <v>2.2875E-2</v>
      </c>
      <c r="I74" s="67">
        <f>_xll.BDP("XAUUSD10R"&amp;F74&amp;" Comdty","PX_LAST")/100</f>
        <v>4.6275000000000004E-2</v>
      </c>
      <c r="J74" s="66">
        <f>_xll.BDP("XAUUSD25B"&amp;F74&amp;" Comdty","PX_LAST")/100</f>
        <v>1.0549999999999999E-2</v>
      </c>
      <c r="K74" s="67">
        <f>_xll.BDP("XAUUSD10B"&amp;F74&amp;" Comdty","PX_LAST")/100</f>
        <v>3.0025E-2</v>
      </c>
      <c r="L74" s="74">
        <f ca="1">_xll.QDates_AddPeriod(ValDate,F74,"F","NYC+LON")</f>
        <v>44944</v>
      </c>
      <c r="N74" s="73" t="s">
        <v>86</v>
      </c>
      <c r="O74" s="78">
        <f>_xll.BDP("XPDUSDV"&amp;N74&amp;" Comdty","PX_LAST")/100+$O$62</f>
        <v>0.31999999999999995</v>
      </c>
      <c r="P74" s="66">
        <f>_xll.BDP("XPDUSD25R"&amp;N74&amp;" Comdty","PX_LAST")/100</f>
        <v>7.3575000000000002E-2</v>
      </c>
      <c r="Q74" s="67">
        <f>_xll.BDP("XPDUSD10R"&amp;N74&amp;" Comdty","PX_LAST")/100</f>
        <v>0.15620000000000001</v>
      </c>
      <c r="R74" s="66">
        <f>_xll.BDP("XPDUSD25B"&amp;N74&amp;" Comdty","PX_LAST")/100</f>
        <v>1.52E-2</v>
      </c>
      <c r="S74" s="67">
        <f>_xll.BDP("XPDUSD10B"&amp;N74&amp;" Comdty","PX_LAST")/100</f>
        <v>4.3250000000000004E-2</v>
      </c>
      <c r="T74" s="74">
        <f ca="1">_xll.QDates_AddPeriod(ValDate,N74,"F","NYC+LON")</f>
        <v>44944</v>
      </c>
      <c r="AL74" s="1"/>
      <c r="AR74" s="1"/>
    </row>
    <row r="75" spans="1:44" x14ac:dyDescent="0.25">
      <c r="A75" s="73" t="s">
        <v>14</v>
      </c>
      <c r="B75" s="74">
        <f ca="1">_xll.QDates_AddPeriod(cashDate,A75,"MF","NYC+LON")</f>
        <v>43518</v>
      </c>
      <c r="C75" s="110">
        <f>_xll.BDP("XPDSR"&amp;A75&amp;" Curncy","PX_LAST")</f>
        <v>-10</v>
      </c>
      <c r="D75" s="67">
        <f t="shared" ref="D75:D81" si="14">(C75+$D$73)/100</f>
        <v>-0.105</v>
      </c>
      <c r="E75" s="84"/>
      <c r="F75" s="75" t="s">
        <v>22</v>
      </c>
      <c r="G75" s="79">
        <f>_xll.BDP("XAUUSDV"&amp;F75&amp;" Comdty","PX_LAST")/100</f>
        <v>0.161575</v>
      </c>
      <c r="H75" s="68">
        <f>_xll.BDP("XAUUSD25R"&amp;F75&amp;" Comdty","PX_LAST")/100</f>
        <v>2.2875E-2</v>
      </c>
      <c r="I75" s="69">
        <f>_xll.BDP("XAUUSD10R"&amp;F75&amp;" Comdty","PX_LAST")/100</f>
        <v>4.6275000000000004E-2</v>
      </c>
      <c r="J75" s="68">
        <f>_xll.BDP("XAUUSD25B"&amp;F75&amp;" Comdty","PX_LAST")/100</f>
        <v>1.0275000000000001E-2</v>
      </c>
      <c r="K75" s="69">
        <f>_xll.BDP("XAUUSD10B"&amp;F75&amp;" Comdty","PX_LAST")/100</f>
        <v>2.9224999999999998E-2</v>
      </c>
      <c r="L75" s="74">
        <f ca="1">_xll.QDates_AddPeriod(ValDate,F75,"F","NYC+LON")</f>
        <v>45309</v>
      </c>
      <c r="N75" s="75" t="s">
        <v>22</v>
      </c>
      <c r="O75" s="79">
        <f>_xll.BDP("XPDUSDV"&amp;N75&amp;" Comdty","PX_LAST")/100+$O$62</f>
        <v>0.31999999999999995</v>
      </c>
      <c r="P75" s="68">
        <f>_xll.BDP("XPDUSD25R"&amp;N75&amp;" Comdty","PX_LAST")/100</f>
        <v>7.2974999999999998E-2</v>
      </c>
      <c r="Q75" s="69">
        <f>_xll.BDP("XPDUSD10R"&amp;N75&amp;" Comdty","PX_LAST")/100</f>
        <v>0.15265000000000001</v>
      </c>
      <c r="R75" s="68">
        <f>_xll.BDP("XPDUSD25B"&amp;N75&amp;" Comdty","PX_LAST")/100</f>
        <v>1.5650000000000001E-2</v>
      </c>
      <c r="S75" s="69">
        <f>_xll.BDP("XPDUSD10B"&amp;N75&amp;" Comdty","PX_LAST")/100</f>
        <v>4.3324999999999995E-2</v>
      </c>
      <c r="T75" s="74">
        <f ca="1">_xll.QDates_AddPeriod(ValDate,N75,"F","NYC+LON")</f>
        <v>45309</v>
      </c>
      <c r="AL75" s="1"/>
      <c r="AR75" s="1"/>
    </row>
    <row r="76" spans="1:44" x14ac:dyDescent="0.25">
      <c r="A76" s="73" t="s">
        <v>15</v>
      </c>
      <c r="B76" s="74">
        <f ca="1">_xll.QDates_AddPeriod(cashDate,A76,"MF","NYC+LON")</f>
        <v>43546</v>
      </c>
      <c r="C76" s="110">
        <f>_xll.BDP("XPDSR"&amp;A76&amp;" Curncy","PX_LAST")</f>
        <v>-10</v>
      </c>
      <c r="D76" s="67">
        <f t="shared" si="14"/>
        <v>-0.105</v>
      </c>
      <c r="E76" s="84"/>
      <c r="N76" s="57"/>
      <c r="O76" s="57"/>
      <c r="P76" s="57"/>
      <c r="Q76" s="57"/>
      <c r="R76" s="57"/>
      <c r="S76" s="57"/>
      <c r="T76" s="57"/>
      <c r="AL76" s="1"/>
      <c r="AR76" s="1"/>
    </row>
    <row r="77" spans="1:44" x14ac:dyDescent="0.25">
      <c r="A77" s="73" t="s">
        <v>10</v>
      </c>
      <c r="B77" s="74">
        <f ca="1">_xll.QDates_AddPeriod(cashDate,A77,"MF","NYC+LON")</f>
        <v>43578</v>
      </c>
      <c r="C77" s="110">
        <f>_xll.BDP("XPDSR"&amp;A77&amp;" Curncy","PX_LAST")</f>
        <v>-10</v>
      </c>
      <c r="D77" s="67">
        <f t="shared" si="14"/>
        <v>-0.105</v>
      </c>
      <c r="E77" s="84"/>
      <c r="N77" s="57"/>
      <c r="O77" s="57"/>
      <c r="P77" s="57"/>
      <c r="Q77" s="57"/>
      <c r="R77" s="57"/>
      <c r="S77" s="57"/>
      <c r="T77" s="57"/>
      <c r="AL77" s="1"/>
      <c r="AR77" s="1"/>
    </row>
    <row r="78" spans="1:44" x14ac:dyDescent="0.25">
      <c r="A78" s="73" t="s">
        <v>16</v>
      </c>
      <c r="B78" s="74">
        <f ca="1">_xll.QDates_AddPeriod(cashDate,A78,"MF","NYC+LON")</f>
        <v>43668</v>
      </c>
      <c r="C78" s="110">
        <f>_xll.BDP("XPDSR"&amp;A78&amp;" Curncy","PX_LAST")</f>
        <v>-10</v>
      </c>
      <c r="D78" s="67">
        <f t="shared" si="14"/>
        <v>-0.105</v>
      </c>
      <c r="E78" s="84"/>
      <c r="G78" s="99">
        <v>0.1</v>
      </c>
      <c r="H78" s="99">
        <v>0.25</v>
      </c>
      <c r="I78" s="99">
        <v>0.5</v>
      </c>
      <c r="J78" s="99">
        <v>0.75</v>
      </c>
      <c r="K78" s="99">
        <v>0.9</v>
      </c>
      <c r="N78" s="57"/>
      <c r="O78" s="99">
        <v>0.1</v>
      </c>
      <c r="P78" s="99">
        <v>0.25</v>
      </c>
      <c r="Q78" s="99">
        <v>0.5</v>
      </c>
      <c r="R78" s="99">
        <v>0.75</v>
      </c>
      <c r="S78" s="99">
        <v>0.9</v>
      </c>
      <c r="T78" s="57"/>
      <c r="AL78" s="1"/>
      <c r="AR78" s="1"/>
    </row>
    <row r="79" spans="1:44" x14ac:dyDescent="0.25">
      <c r="A79" s="73" t="s">
        <v>17</v>
      </c>
      <c r="B79" s="74">
        <f ca="1">_xll.QDates_AddPeriod(cashDate,A79,"MF","NYC+LON")</f>
        <v>43760</v>
      </c>
      <c r="C79" s="110">
        <f>_xll.BDP("XPDSR"&amp;A79&amp;" Curncy","PX_LAST")</f>
        <v>-9</v>
      </c>
      <c r="D79" s="67">
        <f t="shared" si="14"/>
        <v>-9.5000000000000001E-2</v>
      </c>
      <c r="E79" s="84"/>
      <c r="F79" t="str">
        <f>F64</f>
        <v>1w</v>
      </c>
      <c r="G79" s="11">
        <f ca="1">_xll.QVol_GetVolForDeltaStrike($AH$3,G$78,$L64,1)</f>
        <v>8.9047765608648632E-2</v>
      </c>
      <c r="H79" s="11">
        <f ca="1">_xll.QVol_GetVolForDeltaStrike($AH$3,H$78,$L64,1)</f>
        <v>8.3775844230611435E-2</v>
      </c>
      <c r="I79" s="11">
        <f ca="1">_xll.QVol_GetVolForDeltaStrike($AH$3,I$78,$L64,1)</f>
        <v>8.4350000000001299E-2</v>
      </c>
      <c r="J79" s="11">
        <f ca="1">_xll.QVol_GetVolForDeltaStrike($AH$3,J$78,$L64,1)</f>
        <v>9.5580068507641405E-2</v>
      </c>
      <c r="K79" s="11">
        <f ca="1">_xll.QVol_GetVolForDeltaStrike($AH$3,K$78,$L64,1)</f>
        <v>0.11018030425948894</v>
      </c>
      <c r="M79" s="80"/>
      <c r="N79" s="57" t="str">
        <f>N64</f>
        <v>1w</v>
      </c>
      <c r="O79" s="11">
        <f ca="1">_xll.QVol_GetVolForDeltaStrike($AH$3,O$78,$L64,1)</f>
        <v>8.9047765608648632E-2</v>
      </c>
      <c r="P79" s="11">
        <f ca="1">_xll.QVol_GetVolForDeltaStrike($AH$3,P$78,$L64,1)</f>
        <v>8.3775844230611435E-2</v>
      </c>
      <c r="Q79" s="11">
        <f ca="1">_xll.QVol_GetVolForDeltaStrike($AH$3,Q$78,$L64,1)</f>
        <v>8.4350000000001299E-2</v>
      </c>
      <c r="R79" s="11">
        <f ca="1">_xll.QVol_GetVolForDeltaStrike($AH$3,R$78,$L64,1)</f>
        <v>9.5580068507641405E-2</v>
      </c>
      <c r="S79" s="11">
        <f ca="1">_xll.QVol_GetVolForDeltaStrike($AH$3,S$78,$L64,1)</f>
        <v>0.11018030425948894</v>
      </c>
      <c r="T79" s="57"/>
      <c r="AL79" s="1"/>
      <c r="AR79" s="1"/>
    </row>
    <row r="80" spans="1:44" x14ac:dyDescent="0.25">
      <c r="A80" s="73" t="s">
        <v>21</v>
      </c>
      <c r="B80" s="74">
        <f ca="1">_xll.QDates_AddPeriod(cashDate,A80,"MF","NYC+LON")</f>
        <v>43852</v>
      </c>
      <c r="C80" s="110">
        <f>_xll.BDP("XPDSR"&amp;A80&amp;" Curncy","PX_LAST")</f>
        <v>-9</v>
      </c>
      <c r="D80" s="67">
        <f t="shared" si="14"/>
        <v>-9.5000000000000001E-2</v>
      </c>
      <c r="E80" s="84"/>
      <c r="F80" s="57" t="str">
        <f t="shared" ref="F80:F90" si="15">F65</f>
        <v>1m</v>
      </c>
      <c r="G80" s="11">
        <f ca="1">_xll.QVol_GetVolForDeltaStrike($AH$3,G$78,$L65,1)</f>
        <v>9.1388258310205667E-2</v>
      </c>
      <c r="H80" s="11">
        <f ca="1">_xll.QVol_GetVolForDeltaStrike($AH$3,H$78,$L65,1)</f>
        <v>8.7172619795932063E-2</v>
      </c>
      <c r="I80" s="11">
        <f ca="1">_xll.QVol_GetVolForDeltaStrike($AH$3,I$78,$L65,1)</f>
        <v>8.7999999999998663E-2</v>
      </c>
      <c r="J80" s="11">
        <f ca="1">_xll.QVol_GetVolForDeltaStrike($AH$3,J$78,$L65,1)</f>
        <v>0.10185121680882731</v>
      </c>
      <c r="K80" s="11">
        <f ca="1">_xll.QVol_GetVolForDeltaStrike($AH$3,K$78,$L65,1)</f>
        <v>0.11750853172644417</v>
      </c>
      <c r="M80" s="80"/>
      <c r="N80" s="57" t="str">
        <f t="shared" ref="N80:N90" si="16">N65</f>
        <v>1m</v>
      </c>
      <c r="O80" s="11">
        <f ca="1">_xll.QVol_GetVolForDeltaStrike($AH$3,O$78,$L65,1)</f>
        <v>9.1388258310205667E-2</v>
      </c>
      <c r="P80" s="11">
        <f ca="1">_xll.QVol_GetVolForDeltaStrike($AH$3,P$78,$L65,1)</f>
        <v>8.7172619795932063E-2</v>
      </c>
      <c r="Q80" s="11">
        <f ca="1">_xll.QVol_GetVolForDeltaStrike($AH$3,Q$78,$L65,1)</f>
        <v>8.7999999999998663E-2</v>
      </c>
      <c r="R80" s="11">
        <f ca="1">_xll.QVol_GetVolForDeltaStrike($AH$3,R$78,$L65,1)</f>
        <v>0.10185121680882731</v>
      </c>
      <c r="S80" s="11">
        <f ca="1">_xll.QVol_GetVolForDeltaStrike($AH$3,S$78,$L65,1)</f>
        <v>0.11750853172644417</v>
      </c>
      <c r="T80" s="57"/>
      <c r="AL80" s="1"/>
      <c r="AR80" s="1"/>
    </row>
    <row r="81" spans="1:44" x14ac:dyDescent="0.25">
      <c r="A81" s="75" t="s">
        <v>19</v>
      </c>
      <c r="B81" s="76">
        <f ca="1">_xll.QDates_AddPeriod(cashDate,A81,"MF","NYC+LON")</f>
        <v>44218</v>
      </c>
      <c r="C81" s="113">
        <f>_xll.BDP("XPDSR"&amp;A81&amp;" Curncy","PX_LAST")</f>
        <v>-5</v>
      </c>
      <c r="D81" s="69">
        <f t="shared" si="14"/>
        <v>-5.5E-2</v>
      </c>
      <c r="E81" s="84"/>
      <c r="F81" s="57" t="str">
        <f t="shared" si="15"/>
        <v>2m</v>
      </c>
      <c r="G81" s="11">
        <f ca="1">_xll.QVol_GetVolForDeltaStrike($AH$3,G$78,$L66,1)</f>
        <v>9.6434246654518788E-2</v>
      </c>
      <c r="H81" s="11">
        <f ca="1">_xll.QVol_GetVolForDeltaStrike($AH$3,H$78,$L66,1)</f>
        <v>9.2477301568011983E-2</v>
      </c>
      <c r="I81" s="11">
        <f ca="1">_xll.QVol_GetVolForDeltaStrike($AH$3,I$78,$L66,1)</f>
        <v>9.3599999999999087E-2</v>
      </c>
      <c r="J81" s="11">
        <f ca="1">_xll.QVol_GetVolForDeltaStrike($AH$3,J$78,$L66,1)</f>
        <v>0.10816835383190136</v>
      </c>
      <c r="K81" s="11">
        <f ca="1">_xll.QVol_GetVolForDeltaStrike($AH$3,K$78,$L66,1)</f>
        <v>0.12480440266327371</v>
      </c>
      <c r="M81" s="80"/>
      <c r="N81" s="57" t="str">
        <f t="shared" si="16"/>
        <v>2m</v>
      </c>
      <c r="O81" s="11">
        <f ca="1">_xll.QVol_GetVolForDeltaStrike($AH$3,O$78,$L66,1)</f>
        <v>9.6434246654518788E-2</v>
      </c>
      <c r="P81" s="11">
        <f ca="1">_xll.QVol_GetVolForDeltaStrike($AH$3,P$78,$L66,1)</f>
        <v>9.2477301568011983E-2</v>
      </c>
      <c r="Q81" s="11">
        <f ca="1">_xll.QVol_GetVolForDeltaStrike($AH$3,Q$78,$L66,1)</f>
        <v>9.3599999999999087E-2</v>
      </c>
      <c r="R81" s="11">
        <f ca="1">_xll.QVol_GetVolForDeltaStrike($AH$3,R$78,$L66,1)</f>
        <v>0.10816835383190136</v>
      </c>
      <c r="S81" s="11">
        <f ca="1">_xll.QVol_GetVolForDeltaStrike($AH$3,S$78,$L66,1)</f>
        <v>0.12480440266327371</v>
      </c>
      <c r="T81" s="57"/>
      <c r="AL81" s="1"/>
      <c r="AR81" s="1"/>
    </row>
    <row r="82" spans="1:44" x14ac:dyDescent="0.25">
      <c r="C82" s="84"/>
      <c r="E82" s="84"/>
      <c r="F82" s="57" t="str">
        <f t="shared" si="15"/>
        <v>3m</v>
      </c>
      <c r="G82" s="11">
        <f ca="1">_xll.QVol_GetVolForDeltaStrike($AH$3,G$78,$L67,1)</f>
        <v>0.10245273843079143</v>
      </c>
      <c r="H82" s="11">
        <f ca="1">_xll.QVol_GetVolForDeltaStrike($AH$3,H$78,$L67,1)</f>
        <v>9.7600606444456672E-2</v>
      </c>
      <c r="I82" s="11">
        <f ca="1">_xll.QVol_GetVolForDeltaStrike($AH$3,I$78,$L67,1)</f>
        <v>9.8499999999999296E-2</v>
      </c>
      <c r="J82" s="11">
        <f ca="1">_xll.QVol_GetVolForDeltaStrike($AH$3,J$78,$L67,1)</f>
        <v>0.1141532617012854</v>
      </c>
      <c r="K82" s="11">
        <f ca="1">_xll.QVol_GetVolForDeltaStrike($AH$3,K$78,$L67,1)</f>
        <v>0.13297780431515188</v>
      </c>
      <c r="M82" s="80"/>
      <c r="N82" s="57" t="str">
        <f t="shared" si="16"/>
        <v>3m</v>
      </c>
      <c r="O82" s="11">
        <f ca="1">_xll.QVol_GetVolForDeltaStrike($AH$3,O$78,$L67,1)</f>
        <v>0.10245273843079143</v>
      </c>
      <c r="P82" s="11">
        <f ca="1">_xll.QVol_GetVolForDeltaStrike($AH$3,P$78,$L67,1)</f>
        <v>9.7600606444456672E-2</v>
      </c>
      <c r="Q82" s="11">
        <f ca="1">_xll.QVol_GetVolForDeltaStrike($AH$3,Q$78,$L67,1)</f>
        <v>9.8499999999999296E-2</v>
      </c>
      <c r="R82" s="11">
        <f ca="1">_xll.QVol_GetVolForDeltaStrike($AH$3,R$78,$L67,1)</f>
        <v>0.1141532617012854</v>
      </c>
      <c r="S82" s="11">
        <f ca="1">_xll.QVol_GetVolForDeltaStrike($AH$3,S$78,$L67,1)</f>
        <v>0.13297780431515188</v>
      </c>
      <c r="T82" s="57"/>
      <c r="AL82" s="1"/>
      <c r="AR82" s="1"/>
    </row>
    <row r="83" spans="1:44" x14ac:dyDescent="0.25">
      <c r="C83" s="84"/>
      <c r="E83" s="84"/>
      <c r="F83" s="57" t="str">
        <f t="shared" si="15"/>
        <v>6m</v>
      </c>
      <c r="G83" s="11">
        <f ca="1">_xll.QVol_GetVolForDeltaStrike($AH$3,G$78,$L68,1)</f>
        <v>0.11291557344245408</v>
      </c>
      <c r="H83" s="11">
        <f ca="1">_xll.QVol_GetVolForDeltaStrike($AH$3,H$78,$L68,1)</f>
        <v>0.10750527340269157</v>
      </c>
      <c r="I83" s="11">
        <f ca="1">_xll.QVol_GetVolForDeltaStrike($AH$3,I$78,$L68,1)</f>
        <v>0.10844999999999949</v>
      </c>
      <c r="J83" s="11">
        <f ca="1">_xll.QVol_GetVolForDeltaStrike($AH$3,J$78,$L68,1)</f>
        <v>0.12661989827580566</v>
      </c>
      <c r="K83" s="11">
        <f ca="1">_xll.QVol_GetVolForDeltaStrike($AH$3,K$78,$L68,1)</f>
        <v>0.14864762684825639</v>
      </c>
      <c r="M83" s="80"/>
      <c r="N83" s="57" t="str">
        <f t="shared" si="16"/>
        <v>6m</v>
      </c>
      <c r="O83" s="11">
        <f ca="1">_xll.QVol_GetVolForDeltaStrike($AH$3,O$78,$L68,1)</f>
        <v>0.11291557344245408</v>
      </c>
      <c r="P83" s="11">
        <f ca="1">_xll.QVol_GetVolForDeltaStrike($AH$3,P$78,$L68,1)</f>
        <v>0.10750527340269157</v>
      </c>
      <c r="Q83" s="11">
        <f ca="1">_xll.QVol_GetVolForDeltaStrike($AH$3,Q$78,$L68,1)</f>
        <v>0.10844999999999949</v>
      </c>
      <c r="R83" s="11">
        <f ca="1">_xll.QVol_GetVolForDeltaStrike($AH$3,R$78,$L68,1)</f>
        <v>0.12661989827580566</v>
      </c>
      <c r="S83" s="11">
        <f ca="1">_xll.QVol_GetVolForDeltaStrike($AH$3,S$78,$L68,1)</f>
        <v>0.14864762684825639</v>
      </c>
      <c r="T83" s="57"/>
      <c r="AL83" s="1"/>
      <c r="AR83" s="1"/>
    </row>
    <row r="84" spans="1:44" x14ac:dyDescent="0.25">
      <c r="C84" s="84"/>
      <c r="E84" s="84"/>
      <c r="F84" s="57" t="str">
        <f t="shared" si="15"/>
        <v>9m</v>
      </c>
      <c r="G84" s="11">
        <f ca="1">_xll.QVol_GetVolForDeltaStrike($AH$3,G$78,$L69,1)</f>
        <v>0.12236408757921846</v>
      </c>
      <c r="H84" s="11">
        <f ca="1">_xll.QVol_GetVolForDeltaStrike($AH$3,H$78,$L69,1)</f>
        <v>0.11562666312854432</v>
      </c>
      <c r="I84" s="11">
        <f ca="1">_xll.QVol_GetVolForDeltaStrike($AH$3,I$78,$L69,1)</f>
        <v>0.11594999999999973</v>
      </c>
      <c r="J84" s="11">
        <f ca="1">_xll.QVol_GetVolForDeltaStrike($AH$3,J$78,$L69,1)</f>
        <v>0.13584097913859233</v>
      </c>
      <c r="K84" s="11">
        <f ca="1">_xll.QVol_GetVolForDeltaStrike($AH$3,K$78,$L69,1)</f>
        <v>0.16086654224233718</v>
      </c>
      <c r="M84" s="80"/>
      <c r="N84" s="57" t="str">
        <f t="shared" si="16"/>
        <v>9m</v>
      </c>
      <c r="O84" s="11">
        <f ca="1">_xll.QVol_GetVolForDeltaStrike($AH$3,O$78,$L69,1)</f>
        <v>0.12236408757921846</v>
      </c>
      <c r="P84" s="11">
        <f ca="1">_xll.QVol_GetVolForDeltaStrike($AH$3,P$78,$L69,1)</f>
        <v>0.11562666312854432</v>
      </c>
      <c r="Q84" s="11">
        <f ca="1">_xll.QVol_GetVolForDeltaStrike($AH$3,Q$78,$L69,1)</f>
        <v>0.11594999999999973</v>
      </c>
      <c r="R84" s="11">
        <f ca="1">_xll.QVol_GetVolForDeltaStrike($AH$3,R$78,$L69,1)</f>
        <v>0.13584097913859233</v>
      </c>
      <c r="S84" s="11">
        <f ca="1">_xll.QVol_GetVolForDeltaStrike($AH$3,S$78,$L69,1)</f>
        <v>0.16086654224233718</v>
      </c>
      <c r="T84" s="57"/>
      <c r="AL84" s="1"/>
      <c r="AR84" s="1"/>
    </row>
    <row r="85" spans="1:44" x14ac:dyDescent="0.25">
      <c r="C85" s="84"/>
      <c r="E85" s="84"/>
      <c r="F85" s="57" t="str">
        <f t="shared" si="15"/>
        <v>1y</v>
      </c>
      <c r="G85" s="11">
        <f ca="1">_xll.QVol_GetVolForDeltaStrike($AH$3,G$78,$L70,1)</f>
        <v>0.12846544276608551</v>
      </c>
      <c r="H85" s="11">
        <f ca="1">_xll.QVol_GetVolForDeltaStrike($AH$3,H$78,$L70,1)</f>
        <v>0.12098873104252378</v>
      </c>
      <c r="I85" s="11">
        <f ca="1">_xll.QVol_GetVolForDeltaStrike($AH$3,I$78,$L70,1)</f>
        <v>0.12075000000000012</v>
      </c>
      <c r="J85" s="11">
        <f ca="1">_xll.QVol_GetVolForDeltaStrike($AH$3,J$78,$L70,1)</f>
        <v>0.14214332160068521</v>
      </c>
      <c r="K85" s="11">
        <f ca="1">_xll.QVol_GetVolForDeltaStrike($AH$3,K$78,$L70,1)</f>
        <v>0.17035287825000481</v>
      </c>
      <c r="M85" s="80"/>
      <c r="N85" s="57" t="str">
        <f t="shared" si="16"/>
        <v>1y</v>
      </c>
      <c r="O85" s="11">
        <f ca="1">_xll.QVol_GetVolForDeltaStrike($AH$3,O$78,$L70,1)</f>
        <v>0.12846544276608551</v>
      </c>
      <c r="P85" s="11">
        <f ca="1">_xll.QVol_GetVolForDeltaStrike($AH$3,P$78,$L70,1)</f>
        <v>0.12098873104252378</v>
      </c>
      <c r="Q85" s="11">
        <f ca="1">_xll.QVol_GetVolForDeltaStrike($AH$3,Q$78,$L70,1)</f>
        <v>0.12075000000000012</v>
      </c>
      <c r="R85" s="11">
        <f ca="1">_xll.QVol_GetVolForDeltaStrike($AH$3,R$78,$L70,1)</f>
        <v>0.14214332160068521</v>
      </c>
      <c r="S85" s="11">
        <f ca="1">_xll.QVol_GetVolForDeltaStrike($AH$3,S$78,$L70,1)</f>
        <v>0.17035287825000481</v>
      </c>
      <c r="T85" s="57"/>
      <c r="AL85" s="1"/>
      <c r="AR85" s="1"/>
    </row>
    <row r="86" spans="1:44" x14ac:dyDescent="0.25">
      <c r="E86" s="84"/>
      <c r="F86" s="57" t="str">
        <f t="shared" si="15"/>
        <v>18m</v>
      </c>
      <c r="G86" s="11">
        <f ca="1">_xll.QVol_GetVolForDeltaStrike($AH$3,G$78,$L71,1)</f>
        <v>0.13582003374739168</v>
      </c>
      <c r="H86" s="11">
        <f ca="1">_xll.QVol_GetVolForDeltaStrike($AH$3,H$78,$L71,1)</f>
        <v>0.12815042867532755</v>
      </c>
      <c r="I86" s="11">
        <f ca="1">_xll.QVol_GetVolForDeltaStrike($AH$3,I$78,$L71,1)</f>
        <v>0.12775000000000017</v>
      </c>
      <c r="J86" s="11">
        <f ca="1">_xll.QVol_GetVolForDeltaStrike($AH$3,J$78,$L71,1)</f>
        <v>0.14933870654823234</v>
      </c>
      <c r="K86" s="11">
        <f ca="1">_xll.QVol_GetVolForDeltaStrike($AH$3,K$78,$L71,1)</f>
        <v>0.17747916525198676</v>
      </c>
      <c r="M86" s="80"/>
      <c r="N86" s="57" t="str">
        <f t="shared" si="16"/>
        <v>18m</v>
      </c>
      <c r="O86" s="11">
        <f ca="1">_xll.QVol_GetVolForDeltaStrike($AH$3,O$78,$L71,1)</f>
        <v>0.13582003374739168</v>
      </c>
      <c r="P86" s="11">
        <f ca="1">_xll.QVol_GetVolForDeltaStrike($AH$3,P$78,$L71,1)</f>
        <v>0.12815042867532755</v>
      </c>
      <c r="Q86" s="11">
        <f ca="1">_xll.QVol_GetVolForDeltaStrike($AH$3,Q$78,$L71,1)</f>
        <v>0.12775000000000017</v>
      </c>
      <c r="R86" s="11">
        <f ca="1">_xll.QVol_GetVolForDeltaStrike($AH$3,R$78,$L71,1)</f>
        <v>0.14933870654823234</v>
      </c>
      <c r="S86" s="11">
        <f ca="1">_xll.QVol_GetVolForDeltaStrike($AH$3,S$78,$L71,1)</f>
        <v>0.17747916525198676</v>
      </c>
      <c r="T86" s="57"/>
      <c r="AL86" s="1"/>
      <c r="AR86" s="1"/>
    </row>
    <row r="87" spans="1:44" x14ac:dyDescent="0.25">
      <c r="E87" s="84"/>
      <c r="F87" s="57" t="str">
        <f t="shared" si="15"/>
        <v>2y</v>
      </c>
      <c r="G87" s="11">
        <f ca="1">_xll.QVol_GetVolForDeltaStrike($AH$3,G$78,$L72,1)</f>
        <v>0.14035227032906605</v>
      </c>
      <c r="H87" s="11">
        <f ca="1">_xll.QVol_GetVolForDeltaStrike($AH$3,H$78,$L72,1)</f>
        <v>0.13224138899694679</v>
      </c>
      <c r="I87" s="11">
        <f ca="1">_xll.QVol_GetVolForDeltaStrike($AH$3,I$78,$L72,1)</f>
        <v>0.13174999999999998</v>
      </c>
      <c r="J87" s="11">
        <f ca="1">_xll.QVol_GetVolForDeltaStrike($AH$3,J$78,$L72,1)</f>
        <v>0.15437735163436755</v>
      </c>
      <c r="K87" s="11">
        <f ca="1">_xll.QVol_GetVolForDeltaStrike($AH$3,K$78,$L72,1)</f>
        <v>0.1847078144744235</v>
      </c>
      <c r="M87" s="80"/>
      <c r="N87" s="57" t="str">
        <f t="shared" si="16"/>
        <v>2y</v>
      </c>
      <c r="O87" s="11">
        <f ca="1">_xll.QVol_GetVolForDeltaStrike($AH$3,O$78,$L72,1)</f>
        <v>0.14035227032906605</v>
      </c>
      <c r="P87" s="11">
        <f ca="1">_xll.QVol_GetVolForDeltaStrike($AH$3,P$78,$L72,1)</f>
        <v>0.13224138899694679</v>
      </c>
      <c r="Q87" s="11">
        <f ca="1">_xll.QVol_GetVolForDeltaStrike($AH$3,Q$78,$L72,1)</f>
        <v>0.13174999999999998</v>
      </c>
      <c r="R87" s="11">
        <f ca="1">_xll.QVol_GetVolForDeltaStrike($AH$3,R$78,$L72,1)</f>
        <v>0.15437735163436755</v>
      </c>
      <c r="S87" s="11">
        <f ca="1">_xll.QVol_GetVolForDeltaStrike($AH$3,S$78,$L72,1)</f>
        <v>0.1847078144744235</v>
      </c>
      <c r="T87" s="57"/>
      <c r="AL87" s="1"/>
      <c r="AR87" s="1"/>
    </row>
    <row r="88" spans="1:44" x14ac:dyDescent="0.25">
      <c r="E88" s="84"/>
      <c r="F88" s="57" t="str">
        <f t="shared" si="15"/>
        <v>3y</v>
      </c>
      <c r="G88" s="11">
        <f ca="1">_xll.QVol_GetVolForDeltaStrike($AH$3,G$78,$L73,1)</f>
        <v>0.15122366846350044</v>
      </c>
      <c r="H88" s="11">
        <f ca="1">_xll.QVol_GetVolForDeltaStrike($AH$3,H$78,$L73,1)</f>
        <v>0.14348541842854481</v>
      </c>
      <c r="I88" s="11">
        <f ca="1">_xll.QVol_GetVolForDeltaStrike($AH$3,I$78,$L73,1)</f>
        <v>0.1432750000000001</v>
      </c>
      <c r="J88" s="11">
        <f ca="1">_xll.QVol_GetVolForDeltaStrike($AH$3,J$78,$L73,1)</f>
        <v>0.16618107998058546</v>
      </c>
      <c r="K88" s="11">
        <f ca="1">_xll.QVol_GetVolForDeltaStrike($AH$3,K$78,$L73,1)</f>
        <v>0.19673309717103199</v>
      </c>
      <c r="M88" s="80"/>
      <c r="N88" s="57" t="str">
        <f t="shared" si="16"/>
        <v>3y</v>
      </c>
      <c r="O88" s="11">
        <f ca="1">_xll.QVol_GetVolForDeltaStrike($AH$3,O$78,$L73,1)</f>
        <v>0.15122366846350044</v>
      </c>
      <c r="P88" s="11">
        <f ca="1">_xll.QVol_GetVolForDeltaStrike($AH$3,P$78,$L73,1)</f>
        <v>0.14348541842854481</v>
      </c>
      <c r="Q88" s="11">
        <f ca="1">_xll.QVol_GetVolForDeltaStrike($AH$3,Q$78,$L73,1)</f>
        <v>0.1432750000000001</v>
      </c>
      <c r="R88" s="11">
        <f ca="1">_xll.QVol_GetVolForDeltaStrike($AH$3,R$78,$L73,1)</f>
        <v>0.16618107998058546</v>
      </c>
      <c r="S88" s="11">
        <f ca="1">_xll.QVol_GetVolForDeltaStrike($AH$3,S$78,$L73,1)</f>
        <v>0.19673309717103199</v>
      </c>
      <c r="T88" s="57"/>
      <c r="AL88" s="1"/>
      <c r="AR88" s="1"/>
    </row>
    <row r="89" spans="1:44" x14ac:dyDescent="0.25">
      <c r="E89" s="84"/>
      <c r="F89" s="57" t="str">
        <f t="shared" si="15"/>
        <v>4y</v>
      </c>
      <c r="G89" s="11">
        <f ca="1">_xll.QVol_GetVolForDeltaStrike($AH$3,G$78,$L74,1)</f>
        <v>0.1621868957334994</v>
      </c>
      <c r="H89" s="11">
        <f ca="1">_xll.QVol_GetVolForDeltaStrike($AH$3,H$78,$L74,1)</f>
        <v>0.15465773699603144</v>
      </c>
      <c r="I89" s="11">
        <f ca="1">_xll.QVol_GetVolForDeltaStrike($AH$3,I$78,$L74,1)</f>
        <v>0.15445000000000003</v>
      </c>
      <c r="J89" s="11">
        <f ca="1">_xll.QVol_GetVolForDeltaStrike($AH$3,J$78,$L74,1)</f>
        <v>0.17783555847070137</v>
      </c>
      <c r="K89" s="11">
        <f ca="1">_xll.QVol_GetVolForDeltaStrike($AH$3,K$78,$L74,1)</f>
        <v>0.20867305629327146</v>
      </c>
      <c r="M89" s="80"/>
      <c r="N89" s="57" t="str">
        <f t="shared" si="16"/>
        <v>4y</v>
      </c>
      <c r="O89" s="11">
        <f ca="1">_xll.QVol_GetVolForDeltaStrike($AH$3,O$78,$L74,1)</f>
        <v>0.1621868957334994</v>
      </c>
      <c r="P89" s="11">
        <f ca="1">_xll.QVol_GetVolForDeltaStrike($AH$3,P$78,$L74,1)</f>
        <v>0.15465773699603144</v>
      </c>
      <c r="Q89" s="11">
        <f ca="1">_xll.QVol_GetVolForDeltaStrike($AH$3,Q$78,$L74,1)</f>
        <v>0.15445000000000003</v>
      </c>
      <c r="R89" s="11">
        <f ca="1">_xll.QVol_GetVolForDeltaStrike($AH$3,R$78,$L74,1)</f>
        <v>0.17783555847070137</v>
      </c>
      <c r="S89" s="11">
        <f ca="1">_xll.QVol_GetVolForDeltaStrike($AH$3,S$78,$L74,1)</f>
        <v>0.20867305629327146</v>
      </c>
      <c r="T89" s="57"/>
      <c r="AL89" s="1"/>
      <c r="AR89" s="1"/>
    </row>
    <row r="90" spans="1:44" x14ac:dyDescent="0.25">
      <c r="E90" s="84"/>
      <c r="F90" s="57" t="str">
        <f t="shared" si="15"/>
        <v>5y</v>
      </c>
      <c r="G90" s="11">
        <f ca="1">_xll.QVol_GetVolForDeltaStrike($AH$3,G$78,$L75,1)</f>
        <v>0.16862718137945165</v>
      </c>
      <c r="H90" s="11">
        <f ca="1">_xll.QVol_GetVolForDeltaStrike($AH$3,H$78,$L75,1)</f>
        <v>0.16154072935800312</v>
      </c>
      <c r="I90" s="11">
        <f ca="1">_xll.QVol_GetVolForDeltaStrike($AH$3,I$78,$L75,1)</f>
        <v>0.16157500000000027</v>
      </c>
      <c r="J90" s="11">
        <f ca="1">_xll.QVol_GetVolForDeltaStrike($AH$3,J$78,$L75,1)</f>
        <v>0.18473629938410532</v>
      </c>
      <c r="K90" s="11">
        <f ca="1">_xll.QVol_GetVolForDeltaStrike($AH$3,K$78,$L75,1)</f>
        <v>0.21515006788251051</v>
      </c>
      <c r="M90" s="80"/>
      <c r="N90" s="57" t="str">
        <f t="shared" si="16"/>
        <v>5y</v>
      </c>
      <c r="O90" s="11">
        <f ca="1">_xll.QVol_GetVolForDeltaStrike($AH$3,O$78,$L75,1)</f>
        <v>0.16862718137945165</v>
      </c>
      <c r="P90" s="11">
        <f ca="1">_xll.QVol_GetVolForDeltaStrike($AH$3,P$78,$L75,1)</f>
        <v>0.16154072935800312</v>
      </c>
      <c r="Q90" s="11">
        <f ca="1">_xll.QVol_GetVolForDeltaStrike($AH$3,Q$78,$L75,1)</f>
        <v>0.16157500000000027</v>
      </c>
      <c r="R90" s="11">
        <f ca="1">_xll.QVol_GetVolForDeltaStrike($AH$3,R$78,$L75,1)</f>
        <v>0.18473629938410532</v>
      </c>
      <c r="S90" s="11">
        <f ca="1">_xll.QVol_GetVolForDeltaStrike($AH$3,S$78,$L75,1)</f>
        <v>0.21515006788251051</v>
      </c>
      <c r="T90" s="57"/>
      <c r="AL90" s="1"/>
      <c r="AR90" s="1"/>
    </row>
    <row r="91" spans="1:44" x14ac:dyDescent="0.25">
      <c r="F91" s="57"/>
      <c r="AL91" s="1"/>
      <c r="AR91" s="1"/>
    </row>
    <row r="92" spans="1:44" x14ac:dyDescent="0.25">
      <c r="AL92" s="1"/>
      <c r="AR92" s="1"/>
    </row>
    <row r="93" spans="1:44" x14ac:dyDescent="0.25">
      <c r="F93" s="115">
        <v>0.3</v>
      </c>
      <c r="I93" t="s">
        <v>108</v>
      </c>
      <c r="J93" t="s">
        <v>109</v>
      </c>
      <c r="K93" t="s">
        <v>82</v>
      </c>
      <c r="L93" t="s">
        <v>112</v>
      </c>
      <c r="M93" t="s">
        <v>113</v>
      </c>
      <c r="R93" t="s">
        <v>46</v>
      </c>
      <c r="S93" t="str">
        <f ca="1">_xll.QInterp_Create1dInterpolator(R93,$R$94:$R$159,$I$94:$I$159,"CubicSpline")</f>
        <v>Delta¬1</v>
      </c>
      <c r="AL93" s="1"/>
      <c r="AR93" s="1"/>
    </row>
    <row r="94" spans="1:44" x14ac:dyDescent="0.25">
      <c r="F94" t="str">
        <f ca="1">_xll.QVol_GenerateCompoSmile("compoSmile1",AH3,FundingFx!O2,FundingFx!Q25,E70,FundingFx!R25,$F$93,100)</f>
        <v>compoSmile1¬1</v>
      </c>
      <c r="H94" s="84">
        <v>14000</v>
      </c>
      <c r="I94" s="11">
        <f ca="1">_xll.QInterp_Interpolate1d($F$94,H94)</f>
        <v>5</v>
      </c>
      <c r="J94" s="80">
        <f ca="1">_xll.QVol_GetVolForAbsoluteStrike($AH$3,H94/FundingFx!$R$25,FundingFx!$Q$25,$E$70)</f>
        <v>0.13529055200857998</v>
      </c>
      <c r="K94" s="11">
        <f ca="1">_xll.QVol_GetVolForAbsoluteStrike(FundingFx!$O$2,H94/$E$70,FundingFx!$Q$25,FundingFx!$R$25)</f>
        <v>0.13906198548973933</v>
      </c>
      <c r="L94" s="11">
        <f ca="1">SQRT(J94^2+$F$96^2+2*$F$96*J94*$F$93)</f>
        <v>0.24914455759449061</v>
      </c>
      <c r="M94" s="11">
        <f ca="1">SQRT(K94^2+$G$85^2+2*$G$85*K94*$F$93)</f>
        <v>0.21577859373940933</v>
      </c>
      <c r="N94" s="11">
        <f ca="1">_xll.QVol_GetVolForAbsoluteStrike($E$101,H94,$S$102,$F$97)</f>
        <v>5.0000000001257305</v>
      </c>
      <c r="O94" s="84">
        <v>5000</v>
      </c>
      <c r="P94" s="11">
        <f ca="1">_xll.QInterp_Interpolate1d($F$95,O94)</f>
        <v>3.2884984156792089E-16</v>
      </c>
      <c r="Q94" s="11">
        <f ca="1">_xll.QInterp_Interpolate1d($V$95,O94)</f>
        <v>2.749528821783421E-16</v>
      </c>
      <c r="R94" s="11">
        <f ca="1">-_xll.QOpt_BlackDelta(1,H94,$F$97,0,I94,"P")</f>
        <v>5.2115038363144128E-3</v>
      </c>
      <c r="U94" t="s">
        <v>114</v>
      </c>
      <c r="V94" t="str">
        <f ca="1">_xll.QVol_CreateGridVolSurface(U94,"XAU/USD",ValDate,T101:X101,S102,T102:X102,"ForwardDelta","GaussianKernel")</f>
        <v>ReFit¬1</v>
      </c>
      <c r="AL94" s="1"/>
      <c r="AR94" s="1"/>
    </row>
    <row r="95" spans="1:44" x14ac:dyDescent="0.25">
      <c r="F95" t="str">
        <f ca="1">_xll.QVol_GeneratePDFFromInterpolator("compoPDF",F94,1,F97,100)</f>
        <v>compoPDF¬1</v>
      </c>
      <c r="G95" s="57" t="str">
        <f ca="1">_xll.QVol_GenerateCDFFromInterpolator("compoCDF",F94,1,F97,100)</f>
        <v>compoCDF¬1</v>
      </c>
      <c r="H95" s="84">
        <v>14500</v>
      </c>
      <c r="I95" s="11">
        <f ca="1">_xll.QInterp_Interpolate1d($F$94,H95)</f>
        <v>5</v>
      </c>
      <c r="J95" s="80">
        <f ca="1">_xll.QVol_GetVolForAbsoluteStrike($AH$3,H95/FundingFx!$R$25,FundingFx!$Q$25,$E$70)</f>
        <v>0.13457120976185338</v>
      </c>
      <c r="K95" s="11">
        <f ca="1">_xll.QVol_GetVolForAbsoluteStrike(FundingFx!$O$2,H95/$E$70,FundingFx!$Q$25,FundingFx!$R$25)</f>
        <v>0.14035590839411299</v>
      </c>
      <c r="L95" s="11">
        <f t="shared" ref="L95:L147" ca="1" si="17">SQRT(J95^2+$F$96^2+2*$F$96*J95*$F$93)</f>
        <v>0.24860495751345549</v>
      </c>
      <c r="M95" s="11">
        <f t="shared" ref="M95:M147" ca="1" si="18">SQRT(K95^2+$G$85^2+2*$G$85*K95*$F$93)</f>
        <v>0.21684483244069835</v>
      </c>
      <c r="N95" s="11">
        <f ca="1">_xll.QVol_GetVolForAbsoluteStrike($E$101,H95,$S$102,$F$97)</f>
        <v>5.0000000001256399</v>
      </c>
      <c r="O95" s="84">
        <v>6000</v>
      </c>
      <c r="P95" s="11">
        <f ca="1">_xll.QInterp_Interpolate1d($F$95,O95)</f>
        <v>3.2884984156786681E-16</v>
      </c>
      <c r="Q95" s="11">
        <f ca="1">_xll.QInterp_Interpolate1d($V$95,O95)</f>
        <v>2.7495288217830433E-16</v>
      </c>
      <c r="R95" s="11">
        <f ca="1">-_xll.QOpt_BlackDelta(1,H95,$F$97,0,I95,"P")</f>
        <v>5.3177502118171294E-3</v>
      </c>
      <c r="T95" s="11">
        <v>0.1</v>
      </c>
      <c r="U95" s="11">
        <f ca="1">_xll.QInterp_Interpolate1d($S$93,T95)</f>
        <v>5.0000000000006324</v>
      </c>
      <c r="V95" t="str">
        <f ca="1">_xll.QVol_GeneratePDF(U94&amp;"_PDF",$V$94,S102,F97,100)</f>
        <v>ReFit_PDF¬1</v>
      </c>
      <c r="AL95" s="1"/>
      <c r="AR95" s="1"/>
    </row>
    <row r="96" spans="1:44" x14ac:dyDescent="0.25">
      <c r="F96" s="11">
        <f>FundingFx!L25</f>
        <v>0.17252500000000001</v>
      </c>
      <c r="H96" s="84">
        <v>15000</v>
      </c>
      <c r="I96" s="11">
        <f ca="1">_xll.QInterp_Interpolate1d($F$94,H96)</f>
        <v>5</v>
      </c>
      <c r="J96" s="80">
        <f ca="1">_xll.QVol_GetVolForAbsoluteStrike($AH$3,H96/FundingFx!$R$25,FundingFx!$Q$25,$E$70)</f>
        <v>0.13345775796535989</v>
      </c>
      <c r="K96" s="11">
        <f ca="1">_xll.QVol_GetVolForAbsoluteStrike(FundingFx!$O$2,H96/$E$70,FundingFx!$Q$25,FundingFx!$R$25)</f>
        <v>0.14248490178601408</v>
      </c>
      <c r="L96" s="11">
        <f t="shared" ca="1" si="17"/>
        <v>0.24777152500221816</v>
      </c>
      <c r="M96" s="11">
        <f t="shared" ca="1" si="18"/>
        <v>0.21860454894468684</v>
      </c>
      <c r="N96" s="11">
        <f ca="1">_xll.QVol_GetVolForAbsoluteStrike($E$101,H96,$S$102,$F$97)</f>
        <v>5.0000000001255467</v>
      </c>
      <c r="O96" s="84">
        <v>7000</v>
      </c>
      <c r="P96" s="11">
        <f ca="1">_xll.QInterp_Interpolate1d($F$95,O96)</f>
        <v>3.2884984156781272E-16</v>
      </c>
      <c r="Q96" s="11">
        <f ca="1">_xll.QInterp_Interpolate1d($V$95,O96)</f>
        <v>2.7495288217826652E-16</v>
      </c>
      <c r="R96" s="11">
        <f ca="1">-_xll.QOpt_BlackDelta(1,H96,$F$97,0,I96,"P")</f>
        <v>5.4222192939777925E-3</v>
      </c>
      <c r="T96" s="11">
        <v>0.25</v>
      </c>
      <c r="U96" s="11">
        <f ca="1">_xll.QInterp_Interpolate1d($S$93,T96)</f>
        <v>5.0000000000016787</v>
      </c>
      <c r="AL96" s="1"/>
      <c r="AR96" s="1"/>
    </row>
    <row r="97" spans="5:44" x14ac:dyDescent="0.25">
      <c r="E97" t="s">
        <v>111</v>
      </c>
      <c r="F97">
        <f ca="1">E70*FundingFx!R25</f>
        <v>19037.488156607582</v>
      </c>
      <c r="H97" s="84">
        <v>15500</v>
      </c>
      <c r="I97" s="11">
        <f ca="1">_xll.QInterp_Interpolate1d($F$94,H97)</f>
        <v>5</v>
      </c>
      <c r="J97" s="80">
        <f ca="1">_xll.QVol_GetVolForAbsoluteStrike($AH$3,H97/FundingFx!$R$25,FundingFx!$Q$25,$E$70)</f>
        <v>0.13187404588137336</v>
      </c>
      <c r="K97" s="11">
        <f ca="1">_xll.QVol_GetVolForAbsoluteStrike(FundingFx!$O$2,H97/$E$70,FundingFx!$Q$25,FundingFx!$R$25)</f>
        <v>0.14564291468198112</v>
      </c>
      <c r="L97" s="11">
        <f t="shared" ca="1" si="17"/>
        <v>0.24658990543315623</v>
      </c>
      <c r="M97" s="11">
        <f t="shared" ca="1" si="18"/>
        <v>0.22122675582842047</v>
      </c>
      <c r="N97" s="11">
        <f ca="1">_xll.QVol_GetVolForAbsoluteStrike($E$101,H97,$S$102,$F$97)</f>
        <v>5.0000000001254579</v>
      </c>
      <c r="O97" s="84">
        <v>8000</v>
      </c>
      <c r="P97" s="11">
        <f ca="1">_xll.QInterp_Interpolate1d($F$95,O97)</f>
        <v>3.2884984156775868E-16</v>
      </c>
      <c r="Q97" s="11">
        <f ca="1">_xll.QInterp_Interpolate1d($V$95,O97)</f>
        <v>2.749528821782287E-16</v>
      </c>
      <c r="R97" s="11">
        <f ca="1">-_xll.QOpt_BlackDelta(1,H97,$F$97,0,I97,"P")</f>
        <v>5.5249939688123417E-3</v>
      </c>
      <c r="T97" s="11">
        <v>0.5</v>
      </c>
      <c r="U97" s="11">
        <f ca="1">_xll.QInterp_Interpolate1d($S$93,T97)</f>
        <v>5.0000000000034222</v>
      </c>
      <c r="AL97" s="1"/>
      <c r="AR97" s="1"/>
    </row>
    <row r="98" spans="5:44" x14ac:dyDescent="0.25">
      <c r="E98" t="s">
        <v>110</v>
      </c>
      <c r="F98" s="11">
        <f>SQRT(G70^2+FundingFx!L25^2+2*FundingFx!L25*MetalCurves!G70*MetalCurves!F93)</f>
        <v>0.2384216315165216</v>
      </c>
      <c r="H98" s="84">
        <v>16000</v>
      </c>
      <c r="I98" s="11">
        <f ca="1">_xll.QInterp_Interpolate1d($F$94,H98)</f>
        <v>5</v>
      </c>
      <c r="J98" s="80">
        <f ca="1">_xll.QVol_GetVolForAbsoluteStrike($AH$3,H98/FundingFx!$R$25,FundingFx!$Q$25,$E$70)</f>
        <v>0.12979162058325555</v>
      </c>
      <c r="K98" s="11">
        <f ca="1">_xll.QVol_GetVolForAbsoluteStrike(FundingFx!$O$2,H98/$E$70,FundingFx!$Q$25,FundingFx!$R$25)</f>
        <v>0.14975447184324825</v>
      </c>
      <c r="L98" s="11">
        <f t="shared" ca="1" si="17"/>
        <v>0.24504309825682391</v>
      </c>
      <c r="M98" s="11">
        <f t="shared" ca="1" si="18"/>
        <v>0.22466138195306984</v>
      </c>
      <c r="N98" s="11">
        <f ca="1">_xll.QVol_GetVolForAbsoluteStrike($E$101,H98,$S$102,$F$97)</f>
        <v>5.000000000125369</v>
      </c>
      <c r="O98" s="84">
        <v>9000</v>
      </c>
      <c r="P98" s="11">
        <f ca="1">_xll.QInterp_Interpolate1d($F$95,O98)</f>
        <v>3.288498415677046E-16</v>
      </c>
      <c r="Q98" s="11">
        <f ca="1">_xll.QInterp_Interpolate1d($V$95,O98)</f>
        <v>2.7495288217819093E-16</v>
      </c>
      <c r="R98" s="11">
        <f ca="1">-_xll.QOpt_BlackDelta(1,H98,$F$97,0,I98,"P")</f>
        <v>5.6261508053963016E-3</v>
      </c>
      <c r="T98" s="11">
        <v>0.75</v>
      </c>
      <c r="U98" s="11">
        <f ca="1">_xll.QInterp_Interpolate1d($S$93,T98)</f>
        <v>5.0000000000051665</v>
      </c>
      <c r="AL98" s="1"/>
      <c r="AR98" s="1"/>
    </row>
    <row r="99" spans="5:44" x14ac:dyDescent="0.25">
      <c r="H99" s="84">
        <v>16250</v>
      </c>
      <c r="I99" s="11">
        <f ca="1">_xll.QInterp_Interpolate1d($F$94,H99)</f>
        <v>5</v>
      </c>
      <c r="J99" s="80">
        <f ca="1">_xll.QVol_GetVolForAbsoluteStrike($AH$3,H99/FundingFx!$R$25,FundingFx!$Q$25,$E$70)</f>
        <v>0.12857522710443034</v>
      </c>
      <c r="K99" s="11">
        <f ca="1">_xll.QVol_GetVolForAbsoluteStrike(FundingFx!$O$2,H99/$E$70,FundingFx!$Q$25,FundingFx!$R$25)</f>
        <v>0.15203020080975005</v>
      </c>
      <c r="L99" s="11">
        <f t="shared" ca="1" si="17"/>
        <v>0.2441432556587852</v>
      </c>
      <c r="M99" s="11">
        <f t="shared" ca="1" si="18"/>
        <v>0.22657212577862304</v>
      </c>
      <c r="N99" s="11">
        <f ca="1">_xll.QVol_GetVolForAbsoluteStrike($E$101,H99,$S$102,$F$97)</f>
        <v>5.0000000001253255</v>
      </c>
      <c r="O99" s="84">
        <v>10000</v>
      </c>
      <c r="P99" s="11">
        <f ca="1">_xll.QInterp_Interpolate1d($F$95,O99)</f>
        <v>3.2884984156765051E-16</v>
      </c>
      <c r="Q99" s="11">
        <f ca="1">_xll.QInterp_Interpolate1d($V$95,O99)</f>
        <v>2.7495288217815312E-16</v>
      </c>
      <c r="R99" s="11">
        <f ca="1">-_xll.QOpt_BlackDelta(1,H99,$F$97,0,I99,"P")</f>
        <v>5.6761448989621766E-3</v>
      </c>
      <c r="T99" s="11">
        <v>0.9</v>
      </c>
      <c r="U99" s="11">
        <f ca="1">_xll.QInterp_Interpolate1d($S$93,T99)</f>
        <v>5.0000000000062128</v>
      </c>
      <c r="AL99" s="1"/>
      <c r="AR99" s="1"/>
    </row>
    <row r="100" spans="5:44" x14ac:dyDescent="0.25">
      <c r="H100" s="84">
        <v>16500</v>
      </c>
      <c r="I100" s="11">
        <f ca="1">_xll.QInterp_Interpolate1d($F$94,H100)</f>
        <v>5</v>
      </c>
      <c r="J100" s="80">
        <f ca="1">_xll.QVol_GetVolForAbsoluteStrike($AH$3,H100/FundingFx!$R$25,FundingFx!$Q$25,$E$70)</f>
        <v>0.12726213519331486</v>
      </c>
      <c r="K100" s="11">
        <f ca="1">_xll.QVol_GetVolForAbsoluteStrike(FundingFx!$O$2,H100/$E$70,FundingFx!$Q$25,FundingFx!$R$25)</f>
        <v>0.15433605078105231</v>
      </c>
      <c r="L100" s="11">
        <f t="shared" ca="1" si="17"/>
        <v>0.24317497116993259</v>
      </c>
      <c r="M100" s="11">
        <f t="shared" ca="1" si="18"/>
        <v>0.22851497984769426</v>
      </c>
      <c r="N100" s="11">
        <f ca="1">_xll.QVol_GetVolForAbsoluteStrike($E$101,H100,$S$102,$F$97)</f>
        <v>5.000000000125282</v>
      </c>
      <c r="O100" s="84">
        <v>11000</v>
      </c>
      <c r="P100" s="11">
        <f ca="1">_xll.QInterp_Interpolate1d($F$95,O100)</f>
        <v>3.2884984156759642E-16</v>
      </c>
      <c r="Q100" s="11">
        <f ca="1">_xll.QInterp_Interpolate1d($V$95,O100)</f>
        <v>2.749528821781153E-16</v>
      </c>
      <c r="R100" s="11">
        <f ca="1">-_xll.QOpt_BlackDelta(1,H100,$F$97,0,I100,"P")</f>
        <v>5.7257607151103285E-3</v>
      </c>
      <c r="AL100" s="1"/>
      <c r="AR100" s="1"/>
    </row>
    <row r="101" spans="5:44" x14ac:dyDescent="0.25">
      <c r="E101" s="83" t="str">
        <f ca="1">_xll.QVol_GenerateCompoSurface("compoSurface",AM21,"XAU","USD/ZAR",0.3,100)</f>
        <v>compoSurface¬1</v>
      </c>
      <c r="H101" s="84">
        <v>16750</v>
      </c>
      <c r="I101" s="11">
        <f ca="1">_xll.QInterp_Interpolate1d($F$94,H101)</f>
        <v>5</v>
      </c>
      <c r="J101" s="80">
        <f ca="1">_xll.QVol_GetVolForAbsoluteStrike($AH$3,H101/FundingFx!$R$25,FundingFx!$Q$25,$E$70)</f>
        <v>0.12587930539665387</v>
      </c>
      <c r="K101" s="11">
        <f ca="1">_xll.QVol_GetVolForAbsoluteStrike(FundingFx!$O$2,H101/$E$70,FundingFx!$Q$25,FundingFx!$R$25)</f>
        <v>0.15657876324272127</v>
      </c>
      <c r="L101" s="11">
        <f t="shared" ca="1" si="17"/>
        <v>0.24215877322591203</v>
      </c>
      <c r="M101" s="11">
        <f t="shared" ca="1" si="18"/>
        <v>0.23041105696635286</v>
      </c>
      <c r="N101" s="11">
        <f ca="1">_xll.QVol_GetVolForAbsoluteStrike($E$101,H101,$S$102,$F$97)</f>
        <v>5.0000000001252394</v>
      </c>
      <c r="O101" s="84">
        <v>12000</v>
      </c>
      <c r="P101" s="11">
        <f ca="1">_xll.QInterp_Interpolate1d($F$95,O101)</f>
        <v>3.2884984156754239E-16</v>
      </c>
      <c r="Q101" s="11">
        <f ca="1">_xll.QInterp_Interpolate1d($V$95,O101)</f>
        <v>2.7495288217807753E-16</v>
      </c>
      <c r="R101" s="11">
        <f ca="1">-_xll.QOpt_BlackDelta(1,H101,$F$97,0,I101,"P")</f>
        <v>5.7750063277011154E-3</v>
      </c>
      <c r="T101" s="11">
        <v>0.1</v>
      </c>
      <c r="U101" s="11">
        <v>0.25</v>
      </c>
      <c r="V101" s="11">
        <v>0.5</v>
      </c>
      <c r="W101" s="11">
        <v>0.75</v>
      </c>
      <c r="X101" s="11">
        <v>0.9</v>
      </c>
      <c r="AL101" s="1"/>
      <c r="AR101" s="1"/>
    </row>
    <row r="102" spans="5:44" x14ac:dyDescent="0.25">
      <c r="H102" s="84">
        <v>17000</v>
      </c>
      <c r="I102" s="11">
        <f ca="1">_xll.QInterp_Interpolate1d($F$94,H102)</f>
        <v>5</v>
      </c>
      <c r="J102" s="80">
        <f ca="1">_xll.QVol_GetVolForAbsoluteStrike($AH$3,H102/FundingFx!$R$25,FundingFx!$Q$25,$E$70)</f>
        <v>0.12446598265476011</v>
      </c>
      <c r="K102" s="11">
        <f ca="1">_xll.QVol_GetVolForAbsoluteStrike(FundingFx!$O$2,H102/$E$70,FundingFx!$Q$25,FundingFx!$R$25)</f>
        <v>0.15867817092056904</v>
      </c>
      <c r="L102" s="11">
        <f t="shared" ca="1" si="17"/>
        <v>0.2411239363018996</v>
      </c>
      <c r="M102" s="11">
        <f t="shared" ca="1" si="18"/>
        <v>0.2321915778028088</v>
      </c>
      <c r="N102" s="11">
        <f ca="1">_xll.QVol_GetVolForAbsoluteStrike($E$101,H102,$S$102,$F$97)</f>
        <v>5.0000000001251959</v>
      </c>
      <c r="O102" s="84">
        <f>O101+500</f>
        <v>12500</v>
      </c>
      <c r="P102" s="11">
        <f ca="1">_xll.QInterp_Interpolate1d($F$95,O102)</f>
        <v>3.2884984156751532E-16</v>
      </c>
      <c r="Q102" s="11">
        <f ca="1">_xll.QInterp_Interpolate1d($V$95,O102)</f>
        <v>2.749528821780586E-16</v>
      </c>
      <c r="R102" s="11">
        <f ca="1">-_xll.QOpt_BlackDelta(1,H102,$F$97,0,I102,"P")</f>
        <v>5.8238895245262823E-3</v>
      </c>
      <c r="S102" s="1">
        <f ca="1">L70</f>
        <v>43851</v>
      </c>
      <c r="T102" s="11">
        <f ca="1">_xll.QInterp_Interpolate1d($S$93,T101)</f>
        <v>5.0000000000006324</v>
      </c>
      <c r="U102" s="11">
        <f ca="1">_xll.QInterp_Interpolate1d($S$93,U101)</f>
        <v>5.0000000000016787</v>
      </c>
      <c r="V102" s="11">
        <f ca="1">_xll.QInterp_Interpolate1d($S$93,V101)</f>
        <v>5.0000000000034222</v>
      </c>
      <c r="W102" s="11">
        <f ca="1">_xll.QInterp_Interpolate1d($S$93,W101)</f>
        <v>5.0000000000051665</v>
      </c>
      <c r="X102" s="11">
        <f ca="1">_xll.QInterp_Interpolate1d($S$93,X101)</f>
        <v>5.0000000000062128</v>
      </c>
      <c r="AL102" s="1"/>
      <c r="AR102" s="1"/>
    </row>
    <row r="103" spans="5:44" x14ac:dyDescent="0.25">
      <c r="H103" s="84">
        <v>17250</v>
      </c>
      <c r="I103" s="11">
        <f ca="1">_xll.QInterp_Interpolate1d($F$94,H103)</f>
        <v>5</v>
      </c>
      <c r="J103" s="80">
        <f ca="1">_xll.QVol_GetVolForAbsoluteStrike($AH$3,H103/FundingFx!$R$25,FundingFx!$Q$25,$E$70)</f>
        <v>0.1230757834846853</v>
      </c>
      <c r="K103" s="11">
        <f ca="1">_xll.QVol_GetVolForAbsoluteStrike(FundingFx!$O$2,H103/$E$70,FundingFx!$Q$25,FundingFx!$R$25)</f>
        <v>0.16057854981367073</v>
      </c>
      <c r="L103" s="11">
        <f t="shared" ca="1" si="17"/>
        <v>0.24010979537033958</v>
      </c>
      <c r="M103" s="11">
        <f t="shared" ca="1" si="18"/>
        <v>0.23380786416559515</v>
      </c>
      <c r="N103" s="11">
        <f ca="1">_xll.QVol_GetVolForAbsoluteStrike($E$101,H103,$S$102,$F$97)</f>
        <v>5.0000000001251532</v>
      </c>
      <c r="O103" s="84">
        <f t="shared" ref="O103:O105" si="19">O102+500</f>
        <v>13000</v>
      </c>
      <c r="P103" s="11">
        <f ca="1">_xll.QInterp_Interpolate1d($F$95,O103)</f>
        <v>3.288498415674883E-16</v>
      </c>
      <c r="Q103" s="11">
        <f ca="1">_xll.QInterp_Interpolate1d($V$95,O103)</f>
        <v>2.7495288217803972E-16</v>
      </c>
      <c r="R103" s="11">
        <f ca="1">-_xll.QOpt_BlackDelta(1,H103,$F$97,0,I103,"P")</f>
        <v>5.8724178214099032E-3</v>
      </c>
      <c r="AL103" s="1"/>
      <c r="AR103" s="1"/>
    </row>
    <row r="104" spans="5:44" x14ac:dyDescent="0.25">
      <c r="H104" s="84">
        <v>17500</v>
      </c>
      <c r="I104" s="11">
        <f ca="1">_xll.QInterp_Interpolate1d($F$94,H104)</f>
        <v>5</v>
      </c>
      <c r="J104" s="80">
        <f ca="1">_xll.QVol_GetVolForAbsoluteStrike($AH$3,H104/FundingFx!$R$25,FundingFx!$Q$25,$E$70)</f>
        <v>0.12177722910489258</v>
      </c>
      <c r="K104" s="11">
        <f ca="1">_xll.QVol_GetVolForAbsoluteStrike(FundingFx!$O$2,H104/$E$70,FundingFx!$Q$25,FundingFx!$R$25)</f>
        <v>0.16225526495674095</v>
      </c>
      <c r="L104" s="11">
        <f t="shared" ca="1" si="17"/>
        <v>0.23916592362679606</v>
      </c>
      <c r="M104" s="11">
        <f t="shared" ca="1" si="18"/>
        <v>0.23523744953460607</v>
      </c>
      <c r="N104" s="11">
        <f ca="1">_xll.QVol_GetVolForAbsoluteStrike($E$101,H104,$S$102,$F$97)</f>
        <v>5.0000000001251124</v>
      </c>
      <c r="O104" s="84">
        <f t="shared" si="19"/>
        <v>13500</v>
      </c>
      <c r="P104" s="11">
        <f ca="1">_xll.QInterp_Interpolate1d($F$95,O104)</f>
        <v>3.2884984156746128E-16</v>
      </c>
      <c r="Q104" s="11">
        <f ca="1">_xll.QInterp_Interpolate1d($V$95,O104)</f>
        <v>2.7495288217802083E-16</v>
      </c>
      <c r="R104" s="11">
        <f ca="1">-_xll.QOpt_BlackDelta(1,H104,$F$97,0,I104,"P")</f>
        <v>5.9205984754241436E-3</v>
      </c>
      <c r="AL104" s="1"/>
      <c r="AR104" s="1"/>
    </row>
    <row r="105" spans="5:44" x14ac:dyDescent="0.25">
      <c r="H105" s="84">
        <v>17750</v>
      </c>
      <c r="I105" s="11">
        <f ca="1">_xll.QInterp_Interpolate1d($F$94,H105)</f>
        <v>5</v>
      </c>
      <c r="J105" s="80">
        <f ca="1">_xll.QVol_GetVolForAbsoluteStrike($AH$3,H105/FundingFx!$R$25,FundingFx!$Q$25,$E$70)</f>
        <v>0.12065054356804408</v>
      </c>
      <c r="K105" s="11">
        <f ca="1">_xll.QVol_GetVolForAbsoluteStrike(FundingFx!$O$2,H105/$E$70,FundingFx!$Q$25,FundingFx!$R$25)</f>
        <v>0.16371745801417253</v>
      </c>
      <c r="L105" s="11">
        <f t="shared" ca="1" si="17"/>
        <v>0.23834968073339344</v>
      </c>
      <c r="M105" s="11">
        <f t="shared" ca="1" si="18"/>
        <v>0.23648678077876986</v>
      </c>
      <c r="N105" s="11">
        <f ca="1">_xll.QVol_GetVolForAbsoluteStrike($E$101,H105,$S$102,$F$97)</f>
        <v>5.0000000001250706</v>
      </c>
      <c r="O105" s="84">
        <f t="shared" si="19"/>
        <v>14000</v>
      </c>
      <c r="P105" s="11">
        <f ca="1">_xll.QInterp_Interpolate1d($F$95,O105)</f>
        <v>3.2884984156743421E-16</v>
      </c>
      <c r="Q105" s="11">
        <f ca="1">_xll.QInterp_Interpolate1d($V$95,O105)</f>
        <v>2.749528821780019E-16</v>
      </c>
      <c r="R105" s="11">
        <f ca="1">-_xll.QOpt_BlackDelta(1,H105,$F$97,0,I105,"P")</f>
        <v>5.9684384972854554E-3</v>
      </c>
      <c r="AL105" s="1"/>
      <c r="AR105" s="1"/>
    </row>
    <row r="106" spans="5:44" x14ac:dyDescent="0.25">
      <c r="H106" s="84">
        <v>18000</v>
      </c>
      <c r="I106" s="11">
        <f ca="1">_xll.QInterp_Interpolate1d($F$94,H106)</f>
        <v>5</v>
      </c>
      <c r="J106" s="80">
        <f ca="1">_xll.QVol_GetVolForAbsoluteStrike($AH$3,H106/FundingFx!$R$25,FundingFx!$Q$25,$E$70)</f>
        <v>0.11977858564907712</v>
      </c>
      <c r="K106" s="11">
        <f ca="1">_xll.QVol_GetVolForAbsoluteStrike(FundingFx!$O$2,H106/$E$70,FundingFx!$Q$25,FundingFx!$R$25)</f>
        <v>0.16500781766800515</v>
      </c>
      <c r="L106" s="11">
        <f t="shared" ca="1" si="17"/>
        <v>0.23771972046626152</v>
      </c>
      <c r="M106" s="11">
        <f t="shared" ca="1" si="18"/>
        <v>0.2375913114795983</v>
      </c>
      <c r="N106" s="11">
        <f ca="1">_xll.QVol_GetVolForAbsoluteStrike($E$101,H106,$S$102,$F$97)</f>
        <v>5.0000000001250298</v>
      </c>
      <c r="O106" s="84">
        <f>O105+500</f>
        <v>14500</v>
      </c>
      <c r="P106" s="11">
        <f ca="1">_xll.QInterp_Interpolate1d($F$95,O106)</f>
        <v>3.288498415674072E-16</v>
      </c>
      <c r="Q106" s="11">
        <f ca="1">_xll.QInterp_Interpolate1d($V$95,O106)</f>
        <v>2.7495288217798302E-16</v>
      </c>
      <c r="R106" s="11">
        <f ca="1">-_xll.QOpt_BlackDelta(1,H106,$F$97,0,I106,"P")</f>
        <v>6.015944662994599E-3</v>
      </c>
      <c r="AL106" s="1"/>
      <c r="AR106" s="1"/>
    </row>
    <row r="107" spans="5:44" x14ac:dyDescent="0.25">
      <c r="H107" s="84">
        <v>18250</v>
      </c>
      <c r="I107" s="11">
        <f ca="1">_xll.QInterp_Interpolate1d($F$94,H107)</f>
        <v>5</v>
      </c>
      <c r="J107" s="80">
        <f ca="1">_xll.QVol_GetVolForAbsoluteStrike($AH$3,H107/FundingFx!$R$25,FundingFx!$Q$25,$E$70)</f>
        <v>0.11923300534388542</v>
      </c>
      <c r="K107" s="11">
        <f ca="1">_xll.QVol_GetVolForAbsoluteStrike(FundingFx!$O$2,H107/$E$70,FundingFx!$Q$25,FundingFx!$R$25)</f>
        <v>0.16619946160107382</v>
      </c>
      <c r="L107" s="11">
        <f t="shared" ca="1" si="17"/>
        <v>0.23732633595222277</v>
      </c>
      <c r="M107" s="11">
        <f t="shared" ca="1" si="18"/>
        <v>0.23861299938354866</v>
      </c>
      <c r="N107" s="11">
        <f ca="1">_xll.QVol_GetVolForAbsoluteStrike($E$101,H107,$S$102,$F$97)</f>
        <v>5.0000000001249871</v>
      </c>
      <c r="O107" s="84">
        <f>O106+250</f>
        <v>14750</v>
      </c>
      <c r="P107" s="11">
        <f ca="1">_xll.QInterp_Interpolate1d($F$95,O107)</f>
        <v>3.2884984156739369E-16</v>
      </c>
      <c r="Q107" s="11">
        <f ca="1">_xll.QInterp_Interpolate1d($V$95,O107)</f>
        <v>2.7495288217797355E-16</v>
      </c>
      <c r="R107" s="11">
        <f ca="1">-_xll.QOpt_BlackDelta(1,H107,$F$97,0,I107,"P")</f>
        <v>6.0631235247737836E-3</v>
      </c>
      <c r="AL107" s="1"/>
      <c r="AR107" s="1"/>
    </row>
    <row r="108" spans="5:44" x14ac:dyDescent="0.25">
      <c r="H108" s="84">
        <v>18500</v>
      </c>
      <c r="I108" s="11">
        <f ca="1">_xll.QInterp_Interpolate1d($F$94,H108)</f>
        <v>5</v>
      </c>
      <c r="J108" s="80">
        <f ca="1">_xll.QVol_GetVolForAbsoluteStrike($AH$3,H108/FundingFx!$R$25,FundingFx!$Q$25,$E$70)</f>
        <v>0.11906360688722689</v>
      </c>
      <c r="K108" s="11">
        <f ca="1">_xll.QVol_GetVolForAbsoluteStrike(FundingFx!$O$2,H108/$E$70,FundingFx!$Q$25,FundingFx!$R$25)</f>
        <v>0.16738861840213751</v>
      </c>
      <c r="L108" s="11">
        <f t="shared" ca="1" si="17"/>
        <v>0.23720431567938935</v>
      </c>
      <c r="M108" s="11">
        <f t="shared" ca="1" si="18"/>
        <v>0.23963411973649151</v>
      </c>
      <c r="N108" s="11">
        <f ca="1">_xll.QVol_GetVolForAbsoluteStrike($E$101,H108,$S$102,$F$97)</f>
        <v>5.0000000001249472</v>
      </c>
      <c r="O108" s="84">
        <f t="shared" ref="O108:O134" si="20">O107+250</f>
        <v>15000</v>
      </c>
      <c r="P108" s="11">
        <f ca="1">_xll.QInterp_Interpolate1d($F$95,O108)</f>
        <v>3.2884984156738018E-16</v>
      </c>
      <c r="Q108" s="11">
        <f ca="1">_xll.QInterp_Interpolate1d($V$95,O108)</f>
        <v>2.7495288217796414E-16</v>
      </c>
      <c r="R108" s="11">
        <f ca="1">-_xll.QOpt_BlackDelta(1,H108,$F$97,0,I108,"P")</f>
        <v>6.109981421355104E-3</v>
      </c>
      <c r="AL108" s="1"/>
      <c r="AR108" s="1"/>
    </row>
    <row r="109" spans="5:44" x14ac:dyDescent="0.25">
      <c r="H109" s="84">
        <v>18750</v>
      </c>
      <c r="I109" s="11">
        <f ca="1">_xll.QInterp_Interpolate1d($F$94,H109)</f>
        <v>5</v>
      </c>
      <c r="J109" s="80">
        <f ca="1">_xll.QVol_GetVolForAbsoluteStrike($AH$3,H109/FundingFx!$R$25,FundingFx!$Q$25,$E$70)</f>
        <v>0.11930207158448228</v>
      </c>
      <c r="K109" s="11">
        <f ca="1">_xll.QVol_GetVolForAbsoluteStrike(FundingFx!$O$2,H109/$E$70,FundingFx!$Q$25,FundingFx!$R$25)</f>
        <v>0.16868140102325418</v>
      </c>
      <c r="L109" s="11">
        <f t="shared" ca="1" si="17"/>
        <v>0.2373761021025845</v>
      </c>
      <c r="M109" s="11">
        <f t="shared" ca="1" si="18"/>
        <v>0.24074597308691972</v>
      </c>
      <c r="N109" s="11">
        <f ca="1">_xll.QVol_GetVolForAbsoluteStrike($E$101,H109,$S$102,$F$97)</f>
        <v>5.0000000001249063</v>
      </c>
      <c r="O109" s="84">
        <f t="shared" si="20"/>
        <v>15250</v>
      </c>
      <c r="P109" s="11">
        <f ca="1">_xll.QInterp_Interpolate1d($F$95,O109)</f>
        <v>3.2884984156736662E-16</v>
      </c>
      <c r="Q109" s="11">
        <f ca="1">_xll.QInterp_Interpolate1d($V$95,O109)</f>
        <v>2.7495288217795467E-16</v>
      </c>
      <c r="R109" s="11">
        <f ca="1">-_xll.QOpt_BlackDelta(1,H109,$F$97,0,I109,"P")</f>
        <v>6.156524487664683E-3</v>
      </c>
      <c r="AL109" s="1"/>
      <c r="AR109" s="1"/>
    </row>
    <row r="110" spans="5:44" x14ac:dyDescent="0.25">
      <c r="H110" s="84">
        <v>19000</v>
      </c>
      <c r="I110" s="11">
        <f ca="1">_xll.QInterp_Interpolate1d($F$94,H110)</f>
        <v>5</v>
      </c>
      <c r="J110" s="80">
        <f ca="1">_xll.QVol_GetVolForAbsoluteStrike($AH$3,H110/FundingFx!$R$25,FundingFx!$Q$25,$E$70)</f>
        <v>0.11997916554710431</v>
      </c>
      <c r="K110" s="11">
        <f ca="1">_xll.QVol_GetVolForAbsoluteStrike(FundingFx!$O$2,H110/$E$70,FundingFx!$Q$25,FundingFx!$R$25)</f>
        <v>0.17017486151675817</v>
      </c>
      <c r="L110" s="11">
        <f t="shared" ca="1" si="17"/>
        <v>0.2378644973761069</v>
      </c>
      <c r="M110" s="11">
        <f t="shared" ca="1" si="18"/>
        <v>0.24203265655026551</v>
      </c>
      <c r="N110" s="11">
        <f ca="1">_xll.QVol_GetVolForAbsoluteStrike($E$101,H110,$S$102,$F$97)</f>
        <v>5.0000000001248672</v>
      </c>
      <c r="O110" s="84">
        <f t="shared" si="20"/>
        <v>15500</v>
      </c>
      <c r="P110" s="11">
        <f ca="1">_xll.QInterp_Interpolate1d($F$95,O110)</f>
        <v>3.2884984156735311E-16</v>
      </c>
      <c r="Q110" s="11">
        <f ca="1">_xll.QInterp_Interpolate1d($V$95,O110)</f>
        <v>2.749528821779452E-16</v>
      </c>
      <c r="R110" s="11">
        <f ca="1">-_xll.QOpt_BlackDelta(1,H110,$F$97,0,I110,"P")</f>
        <v>6.2027586639461507E-3</v>
      </c>
      <c r="AL110" s="1"/>
      <c r="AR110" s="1"/>
    </row>
    <row r="111" spans="5:44" x14ac:dyDescent="0.25">
      <c r="H111" s="84">
        <v>19250</v>
      </c>
      <c r="I111" s="11">
        <f ca="1">_xll.QInterp_Interpolate1d($F$94,H111)</f>
        <v>5</v>
      </c>
      <c r="J111" s="80">
        <f ca="1">_xll.QVol_GetVolForAbsoluteStrike($AH$3,H111/FundingFx!$R$25,FundingFx!$Q$25,$E$70)</f>
        <v>0.12113433892533423</v>
      </c>
      <c r="K111" s="11">
        <f ca="1">_xll.QVol_GetVolForAbsoluteStrike(FundingFx!$O$2,H111/$E$70,FundingFx!$Q$25,FundingFx!$R$25)</f>
        <v>0.17193678067688048</v>
      </c>
      <c r="L111" s="11">
        <f t="shared" ca="1" si="17"/>
        <v>0.23869986339697333</v>
      </c>
      <c r="M111" s="11">
        <f t="shared" ca="1" si="18"/>
        <v>0.24355366416680035</v>
      </c>
      <c r="N111" s="11">
        <f ca="1">_xll.QVol_GetVolForAbsoluteStrike($E$101,H111,$S$102,$F$97)</f>
        <v>5.0000000001248264</v>
      </c>
      <c r="O111" s="84">
        <f t="shared" si="20"/>
        <v>15750</v>
      </c>
      <c r="P111" s="11">
        <f ca="1">_xll.QInterp_Interpolate1d($F$95,O111)</f>
        <v>3.288498415673396E-16</v>
      </c>
      <c r="Q111" s="11">
        <f ca="1">_xll.QInterp_Interpolate1d($V$95,O111)</f>
        <v>2.7495288217793579E-16</v>
      </c>
      <c r="R111" s="11">
        <f ca="1">-_xll.QOpt_BlackDelta(1,H111,$F$97,0,I111,"P")</f>
        <v>6.2486897043642076E-3</v>
      </c>
      <c r="AL111" s="1"/>
      <c r="AR111" s="1"/>
    </row>
    <row r="112" spans="5:44" x14ac:dyDescent="0.25">
      <c r="H112" s="84">
        <v>19500</v>
      </c>
      <c r="I112" s="11">
        <f ca="1">_xll.QInterp_Interpolate1d($F$94,H112)</f>
        <v>5.0000000000000009</v>
      </c>
      <c r="J112" s="80">
        <f ca="1">_xll.QVol_GetVolForAbsoluteStrike($AH$3,H112/FundingFx!$R$25,FundingFx!$Q$25,$E$70)</f>
        <v>0.12279779188681643</v>
      </c>
      <c r="K112" s="11">
        <f ca="1">_xll.QVol_GetVolForAbsoluteStrike(FundingFx!$O$2,H112/$E$70,FundingFx!$Q$25,FundingFx!$R$25)</f>
        <v>0.17399217406904219</v>
      </c>
      <c r="L112" s="11">
        <f t="shared" ca="1" si="17"/>
        <v>0.23990745454120779</v>
      </c>
      <c r="M112" s="11">
        <f t="shared" ca="1" si="18"/>
        <v>0.24533209254014499</v>
      </c>
      <c r="N112" s="11">
        <f ca="1">_xll.QVol_GetVolForAbsoluteStrike($E$101,H112,$S$102,$F$97)</f>
        <v>5.0000000001247864</v>
      </c>
      <c r="O112" s="84">
        <f t="shared" si="20"/>
        <v>16000</v>
      </c>
      <c r="P112" s="11">
        <f ca="1">_xll.QInterp_Interpolate1d($F$95,O112)</f>
        <v>3.2884984156732609E-16</v>
      </c>
      <c r="Q112" s="11">
        <f ca="1">_xll.QInterp_Interpolate1d($V$95,O112)</f>
        <v>2.7495288217792632E-16</v>
      </c>
      <c r="R112" s="11">
        <f ca="1">-_xll.QOpt_BlackDelta(1,H112,$F$97,0,I112,"P")</f>
        <v>6.2943231851213532E-3</v>
      </c>
      <c r="AL112" s="1"/>
      <c r="AR112" s="1"/>
    </row>
    <row r="113" spans="8:44" x14ac:dyDescent="0.25">
      <c r="H113" s="84">
        <v>19750</v>
      </c>
      <c r="I113" s="11">
        <f ca="1">_xll.QInterp_Interpolate1d($F$94,H113)</f>
        <v>5</v>
      </c>
      <c r="J113" s="80">
        <f ca="1">_xll.QVol_GetVolForAbsoluteStrike($AH$3,H113/FundingFx!$R$25,FundingFx!$Q$25,$E$70)</f>
        <v>0.12495677268048927</v>
      </c>
      <c r="K113" s="11">
        <f ca="1">_xll.QVol_GetVolForAbsoluteStrike(FundingFx!$O$2,H113/$E$70,FundingFx!$Q$25,FundingFx!$R$25)</f>
        <v>0.17632269294610342</v>
      </c>
      <c r="L113" s="11">
        <f t="shared" ca="1" si="17"/>
        <v>0.2414828585795363</v>
      </c>
      <c r="M113" s="11">
        <f t="shared" ca="1" si="18"/>
        <v>0.24735376634340964</v>
      </c>
      <c r="N113" s="11">
        <f ca="1">_xll.QVol_GetVolForAbsoluteStrike($E$101,H113,$S$102,$F$97)</f>
        <v>5.0000000001247482</v>
      </c>
      <c r="O113" s="84">
        <f t="shared" si="20"/>
        <v>16250</v>
      </c>
      <c r="P113" s="11">
        <f ca="1">_xll.QInterp_Interpolate1d($F$95,O113)</f>
        <v>3.2884984156731258E-16</v>
      </c>
      <c r="Q113" s="11">
        <f ca="1">_xll.QInterp_Interpolate1d($V$95,O113)</f>
        <v>2.7495288217791685E-16</v>
      </c>
      <c r="R113" s="11">
        <f ca="1">-_xll.QOpt_BlackDelta(1,H113,$F$97,0,I113,"P")</f>
        <v>6.3396645121238659E-3</v>
      </c>
      <c r="AL113" s="1"/>
      <c r="AR113" s="1"/>
    </row>
    <row r="114" spans="8:44" x14ac:dyDescent="0.25">
      <c r="H114" s="84">
        <v>20000</v>
      </c>
      <c r="I114" s="11">
        <f ca="1">_xll.QInterp_Interpolate1d($F$94,H114)</f>
        <v>5</v>
      </c>
      <c r="J114" s="80">
        <f ca="1">_xll.QVol_GetVolForAbsoluteStrike($AH$3,H114/FundingFx!$R$25,FundingFx!$Q$25,$E$70)</f>
        <v>0.12754069857859396</v>
      </c>
      <c r="K114" s="11">
        <f ca="1">_xll.QVol_GetVolForAbsoluteStrike(FundingFx!$O$2,H114/$E$70,FundingFx!$Q$25,FundingFx!$R$25)</f>
        <v>0.17887803013721837</v>
      </c>
      <c r="L114" s="11">
        <f t="shared" ca="1" si="17"/>
        <v>0.24338011593447587</v>
      </c>
      <c r="M114" s="11">
        <f t="shared" ca="1" si="18"/>
        <v>0.24957665527144113</v>
      </c>
      <c r="N114" s="11">
        <f ca="1">_xll.QVol_GetVolForAbsoluteStrike($E$101,H114,$S$102,$F$97)</f>
        <v>5.0000000001247074</v>
      </c>
      <c r="O114" s="84">
        <f t="shared" si="20"/>
        <v>16500</v>
      </c>
      <c r="P114" s="11">
        <f ca="1">_xll.QInterp_Interpolate1d($F$95,O114)</f>
        <v>3.2884984156729907E-16</v>
      </c>
      <c r="Q114" s="11">
        <f ca="1">_xll.QInterp_Interpolate1d($V$95,O114)</f>
        <v>2.7495288217790744E-16</v>
      </c>
      <c r="R114" s="11">
        <f ca="1">-_xll.QOpt_BlackDelta(1,H114,$F$97,0,I114,"P")</f>
        <v>6.3847189282255634E-3</v>
      </c>
      <c r="AL114" s="1"/>
      <c r="AR114" s="1"/>
    </row>
    <row r="115" spans="8:44" x14ac:dyDescent="0.25">
      <c r="H115" s="84">
        <v>20250</v>
      </c>
      <c r="I115" s="11">
        <f ca="1">_xll.QInterp_Interpolate1d($F$94,H115)</f>
        <v>5</v>
      </c>
      <c r="J115" s="80">
        <f ca="1">_xll.QVol_GetVolForAbsoluteStrike($AH$3,H115/FundingFx!$R$25,FundingFx!$Q$25,$E$70)</f>
        <v>0.13043910043136178</v>
      </c>
      <c r="K115" s="11">
        <f ca="1">_xll.QVol_GetVolForAbsoluteStrike(FundingFx!$O$2,H115/$E$70,FundingFx!$Q$25,FundingFx!$R$25)</f>
        <v>0.18159237886809448</v>
      </c>
      <c r="L115" s="11">
        <f t="shared" ca="1" si="17"/>
        <v>0.24552319244318918</v>
      </c>
      <c r="M115" s="11">
        <f t="shared" ca="1" si="18"/>
        <v>0.25194477422761097</v>
      </c>
      <c r="N115" s="11">
        <f ca="1">_xll.QVol_GetVolForAbsoluteStrike($E$101,H115,$S$102,$F$97)</f>
        <v>5.0000000001246692</v>
      </c>
      <c r="O115" s="84">
        <f t="shared" si="20"/>
        <v>16750</v>
      </c>
      <c r="P115" s="11">
        <f ca="1">_xll.QInterp_Interpolate1d($F$95,O115)</f>
        <v>3.2884984156728551E-16</v>
      </c>
      <c r="Q115" s="11">
        <f ca="1">_xll.QInterp_Interpolate1d($V$95,O115)</f>
        <v>2.7495288217789797E-16</v>
      </c>
      <c r="R115" s="11">
        <f ca="1">-_xll.QOpt_BlackDelta(1,H115,$F$97,0,I115,"P")</f>
        <v>6.4294915200786562E-3</v>
      </c>
      <c r="AL115" s="1"/>
      <c r="AR115" s="1"/>
    </row>
    <row r="116" spans="8:44" x14ac:dyDescent="0.25">
      <c r="H116" s="84">
        <v>20500</v>
      </c>
      <c r="I116" s="11">
        <f ca="1">_xll.QInterp_Interpolate1d($F$94,H116)</f>
        <v>5</v>
      </c>
      <c r="J116" s="80">
        <f ca="1">_xll.QVol_GetVolForAbsoluteStrike($AH$3,H116/FundingFx!$R$25,FundingFx!$Q$25,$E$70)</f>
        <v>0.13353329168404554</v>
      </c>
      <c r="K116" s="11">
        <f ca="1">_xll.QVol_GetVolForAbsoluteStrike(FundingFx!$O$2,H116/$E$70,FundingFx!$Q$25,FundingFx!$R$25)</f>
        <v>0.18439877034584098</v>
      </c>
      <c r="L116" s="11">
        <f t="shared" ca="1" si="17"/>
        <v>0.24782799337776668</v>
      </c>
      <c r="M116" s="11">
        <f t="shared" ca="1" si="18"/>
        <v>0.25440046835048225</v>
      </c>
      <c r="N116" s="11">
        <f ca="1">_xll.QVol_GetVolForAbsoluteStrike($E$101,H116,$S$102,$F$97)</f>
        <v>5.000000000124631</v>
      </c>
      <c r="O116" s="84">
        <f t="shared" si="20"/>
        <v>17000</v>
      </c>
      <c r="P116" s="11">
        <f ca="1">_xll.QInterp_Interpolate1d($F$95,O116)</f>
        <v>3.28849841567272E-16</v>
      </c>
      <c r="Q116" s="11">
        <f ca="1">_xll.QInterp_Interpolate1d($V$95,O116)</f>
        <v>2.749528821778885E-16</v>
      </c>
      <c r="R116" s="11">
        <f ca="1">-_xll.QOpt_BlackDelta(1,H116,$F$97,0,I116,"P")</f>
        <v>6.473987224616673E-3</v>
      </c>
      <c r="AL116" s="1"/>
      <c r="AR116" s="1"/>
    </row>
    <row r="117" spans="8:44" x14ac:dyDescent="0.25">
      <c r="H117" s="84">
        <v>20750</v>
      </c>
      <c r="I117" s="11">
        <f ca="1">_xll.QInterp_Interpolate1d($F$94,H117)</f>
        <v>5</v>
      </c>
      <c r="J117" s="80">
        <f ca="1">_xll.QVol_GetVolForAbsoluteStrike($AH$3,H117/FundingFx!$R$25,FundingFx!$Q$25,$E$70)</f>
        <v>0.13671950076940959</v>
      </c>
      <c r="K117" s="11">
        <f ca="1">_xll.QVol_GetVolForAbsoluteStrike(FundingFx!$O$2,H117/$E$70,FundingFx!$Q$25,FundingFx!$R$25)</f>
        <v>0.18723795261820989</v>
      </c>
      <c r="L117" s="11">
        <f t="shared" ca="1" si="17"/>
        <v>0.25021913723331002</v>
      </c>
      <c r="M117" s="11">
        <f t="shared" ca="1" si="18"/>
        <v>0.25689216565939416</v>
      </c>
      <c r="N117" s="11">
        <f ca="1">_xll.QVol_GetVolForAbsoluteStrike($E$101,H117,$S$102,$F$97)</f>
        <v>5.0000000001245919</v>
      </c>
      <c r="O117" s="84">
        <f t="shared" si="20"/>
        <v>17250</v>
      </c>
      <c r="P117" s="11">
        <f ca="1">_xll.QInterp_Interpolate1d($F$95,O117)</f>
        <v>3.288498415672585E-16</v>
      </c>
      <c r="Q117" s="11">
        <f ca="1">_xll.QInterp_Interpolate1d($V$95,O117)</f>
        <v>2.7495288217787909E-16</v>
      </c>
      <c r="R117" s="11">
        <f ca="1">-_xll.QOpt_BlackDelta(1,H117,$F$97,0,I117,"P")</f>
        <v>6.5182108351943269E-3</v>
      </c>
      <c r="AL117" s="1"/>
      <c r="AR117" s="1"/>
    </row>
    <row r="118" spans="8:44" x14ac:dyDescent="0.25">
      <c r="H118" s="84">
        <v>21000</v>
      </c>
      <c r="I118" s="11">
        <f ca="1">_xll.QInterp_Interpolate1d($F$94,H118)</f>
        <v>5</v>
      </c>
      <c r="J118" s="80">
        <f ca="1">_xll.QVol_GetVolForAbsoluteStrike($AH$3,H118/FundingFx!$R$25,FundingFx!$Q$25,$E$70)</f>
        <v>0.13991768748115718</v>
      </c>
      <c r="K118" s="11">
        <f ca="1">_xll.QVol_GetVolForAbsoluteStrike(FundingFx!$O$2,H118/$E$70,FundingFx!$Q$25,FundingFx!$R$25)</f>
        <v>0.19006208324887239</v>
      </c>
      <c r="L118" s="11">
        <f t="shared" ca="1" si="17"/>
        <v>0.25263692191500187</v>
      </c>
      <c r="M118" s="11">
        <f t="shared" ca="1" si="18"/>
        <v>0.25937773859865898</v>
      </c>
      <c r="N118" s="11">
        <f ca="1">_xll.QVol_GetVolForAbsoluteStrike($E$101,H118,$S$102,$F$97)</f>
        <v>5.0000000001245537</v>
      </c>
      <c r="O118" s="84">
        <f t="shared" si="20"/>
        <v>17500</v>
      </c>
      <c r="P118" s="11">
        <f ca="1">_xll.QInterp_Interpolate1d($F$95,O118)</f>
        <v>3.2884984156724499E-16</v>
      </c>
      <c r="Q118" s="11">
        <f ca="1">_xll.QInterp_Interpolate1d($V$95,O118)</f>
        <v>2.7495288217786962E-16</v>
      </c>
      <c r="R118" s="11">
        <f ca="1">-_xll.QOpt_BlackDelta(1,H118,$F$97,0,I118,"P")</f>
        <v>6.5621670074048621E-3</v>
      </c>
      <c r="AL118" s="1"/>
      <c r="AR118" s="1"/>
    </row>
    <row r="119" spans="8:44" x14ac:dyDescent="0.25">
      <c r="H119" s="84">
        <v>21250</v>
      </c>
      <c r="I119" s="11">
        <f ca="1">_xll.QInterp_Interpolate1d($F$94,H119)</f>
        <v>5</v>
      </c>
      <c r="J119" s="80">
        <f ca="1">_xll.QVol_GetVolForAbsoluteStrike($AH$3,H119/FundingFx!$R$25,FundingFx!$Q$25,$E$70)</f>
        <v>0.14307089279167928</v>
      </c>
      <c r="K119" s="11">
        <f ca="1">_xll.QVol_GetVolForAbsoluteStrike(FundingFx!$O$2,H119/$E$70,FundingFx!$Q$25,FundingFx!$R$25)</f>
        <v>0.19283501544310894</v>
      </c>
      <c r="L119" s="11">
        <f t="shared" ca="1" si="17"/>
        <v>0.25503752558503795</v>
      </c>
      <c r="M119" s="11">
        <f t="shared" ca="1" si="18"/>
        <v>0.26182493110827471</v>
      </c>
      <c r="N119" s="11">
        <f ca="1">_xll.QVol_GetVolForAbsoluteStrike($E$101,H119,$S$102,$F$97)</f>
        <v>5.0000000001245155</v>
      </c>
      <c r="O119" s="84">
        <f t="shared" si="20"/>
        <v>17750</v>
      </c>
      <c r="P119" s="11">
        <f ca="1">_xll.QInterp_Interpolate1d($F$95,O119)</f>
        <v>3.2884984156723148E-16</v>
      </c>
      <c r="Q119" s="11">
        <f ca="1">_xll.QInterp_Interpolate1d($V$95,O119)</f>
        <v>2.7495288217786015E-16</v>
      </c>
      <c r="R119" s="11">
        <f ca="1">-_xll.QOpt_BlackDelta(1,H119,$F$97,0,I119,"P")</f>
        <v>6.6058602645975295E-3</v>
      </c>
      <c r="AL119" s="1"/>
      <c r="AR119" s="1"/>
    </row>
    <row r="120" spans="8:44" x14ac:dyDescent="0.25">
      <c r="H120" s="84">
        <v>21500</v>
      </c>
      <c r="I120" s="11">
        <f ca="1">_xll.QInterp_Interpolate1d($F$94,H120)</f>
        <v>5</v>
      </c>
      <c r="J120" s="80">
        <f ca="1">_xll.QVol_GetVolForAbsoluteStrike($AH$3,H120/FundingFx!$R$25,FundingFx!$Q$25,$E$70)</f>
        <v>0.14614085682250619</v>
      </c>
      <c r="K120" s="11">
        <f ca="1">_xll.QVol_GetVolForAbsoluteStrike(FundingFx!$O$2,H120/$E$70,FundingFx!$Q$25,FundingFx!$R$25)</f>
        <v>0.19553090170140117</v>
      </c>
      <c r="L120" s="11">
        <f t="shared" ca="1" si="17"/>
        <v>0.25739035811738947</v>
      </c>
      <c r="M120" s="11">
        <f t="shared" ca="1" si="18"/>
        <v>0.26421029847862265</v>
      </c>
      <c r="N120" s="11">
        <f ca="1">_xll.QVol_GetVolForAbsoluteStrike($E$101,H120,$S$102,$F$97)</f>
        <v>5.0000000001244773</v>
      </c>
      <c r="O120" s="84">
        <f t="shared" si="20"/>
        <v>18000</v>
      </c>
      <c r="P120" s="11">
        <f ca="1">_xll.QInterp_Interpolate1d($F$95,O120)</f>
        <v>3.2884984156721797E-16</v>
      </c>
      <c r="Q120" s="11">
        <f ca="1">_xll.QInterp_Interpolate1d($V$95,O120)</f>
        <v>2.7495288217785074E-16</v>
      </c>
      <c r="R120" s="11">
        <f ca="1">-_xll.QOpt_BlackDelta(1,H120,$F$97,0,I120,"P")</f>
        <v>6.6492950031119546E-3</v>
      </c>
      <c r="AL120" s="1"/>
      <c r="AR120" s="1"/>
    </row>
    <row r="121" spans="8:44" x14ac:dyDescent="0.25">
      <c r="H121" s="84">
        <v>21750</v>
      </c>
      <c r="I121" s="11">
        <f ca="1">_xll.QInterp_Interpolate1d($F$94,H121)</f>
        <v>5</v>
      </c>
      <c r="J121" s="80">
        <f ca="1">_xll.QVol_GetVolForAbsoluteStrike($AH$3,H121/FundingFx!$R$25,FundingFx!$Q$25,$E$70)</f>
        <v>0.14910317707891554</v>
      </c>
      <c r="K121" s="11">
        <f ca="1">_xll.QVol_GetVolForAbsoluteStrike(FundingFx!$O$2,H121/$E$70,FundingFx!$Q$25,FundingFx!$R$25)</f>
        <v>0.19813224907439875</v>
      </c>
      <c r="L121" s="11">
        <f t="shared" ca="1" si="17"/>
        <v>0.25967488984372439</v>
      </c>
      <c r="M121" s="11">
        <f t="shared" ca="1" si="18"/>
        <v>0.26651762862991962</v>
      </c>
      <c r="N121" s="11">
        <f ca="1">_xll.QVol_GetVolForAbsoluteStrike($E$101,H121,$S$102,$F$97)</f>
        <v>5.00000000012444</v>
      </c>
      <c r="O121" s="84">
        <f t="shared" si="20"/>
        <v>18250</v>
      </c>
      <c r="P121" s="11">
        <f ca="1">_xll.QInterp_Interpolate1d($F$95,O121)</f>
        <v>3.2884984156720441E-16</v>
      </c>
      <c r="Q121" s="11">
        <f ca="1">_xll.QInterp_Interpolate1d($V$95,O121)</f>
        <v>2.7495288217784127E-16</v>
      </c>
      <c r="R121" s="11">
        <f ca="1">-_xll.QOpt_BlackDelta(1,H121,$F$97,0,I121,"P")</f>
        <v>6.6924754972481626E-3</v>
      </c>
      <c r="AL121" s="1"/>
      <c r="AR121" s="1"/>
    </row>
    <row r="122" spans="8:44" x14ac:dyDescent="0.25">
      <c r="H122" s="84">
        <v>22000</v>
      </c>
      <c r="I122" s="11">
        <f ca="1">_xll.QInterp_Interpolate1d($F$94,H122)</f>
        <v>5</v>
      </c>
      <c r="J122" s="80">
        <f ca="1">_xll.QVol_GetVolForAbsoluteStrike($AH$3,H122/FundingFx!$R$25,FundingFx!$Q$25,$E$70)</f>
        <v>0.15194324709646803</v>
      </c>
      <c r="K122" s="11">
        <f ca="1">_xll.QVol_GetVolForAbsoluteStrike(FundingFx!$O$2,H122/$E$70,FundingFx!$Q$25,FundingFx!$R$25)</f>
        <v>0.20062801308367548</v>
      </c>
      <c r="L122" s="11">
        <f t="shared" ca="1" si="17"/>
        <v>0.26187789365734793</v>
      </c>
      <c r="M122" s="11">
        <f t="shared" ca="1" si="18"/>
        <v>0.26873635693414183</v>
      </c>
      <c r="N122" s="11">
        <f ca="1">_xll.QVol_GetVolForAbsoluteStrike($E$101,H122,$S$102,$F$97)</f>
        <v>5.0000000001244018</v>
      </c>
      <c r="O122" s="84">
        <f t="shared" si="20"/>
        <v>18500</v>
      </c>
      <c r="P122" s="11">
        <f ca="1">_xll.QInterp_Interpolate1d($F$95,O122)</f>
        <v>3.288498415671909E-16</v>
      </c>
      <c r="Q122" s="11">
        <f ca="1">_xll.QInterp_Interpolate1d($V$95,O122)</f>
        <v>2.749528821778318E-16</v>
      </c>
      <c r="R122" s="11">
        <f ca="1">-_xll.QOpt_BlackDelta(1,H122,$F$97,0,I122,"P")</f>
        <v>6.7354059039878011E-3</v>
      </c>
      <c r="AL122" s="1"/>
      <c r="AR122" s="1"/>
    </row>
    <row r="123" spans="8:44" x14ac:dyDescent="0.25">
      <c r="H123" s="84">
        <v>22250</v>
      </c>
      <c r="I123" s="11">
        <f ca="1">_xll.QInterp_Interpolate1d($F$94,H123)</f>
        <v>5</v>
      </c>
      <c r="J123" s="80">
        <f ca="1">_xll.QVol_GetVolForAbsoluteStrike($AH$3,H123/FundingFx!$R$25,FundingFx!$Q$25,$E$70)</f>
        <v>0.15465320585726064</v>
      </c>
      <c r="K123" s="11">
        <f ca="1">_xll.QVol_GetVolForAbsoluteStrike(FundingFx!$O$2,H123/$E$70,FundingFx!$Q$25,FundingFx!$R$25)</f>
        <v>0.20301196678196168</v>
      </c>
      <c r="L123" s="11">
        <f t="shared" ca="1" si="17"/>
        <v>0.26399131862855374</v>
      </c>
      <c r="M123" s="11">
        <f t="shared" ca="1" si="18"/>
        <v>0.27086018895629871</v>
      </c>
      <c r="N123" s="11">
        <f ca="1">_xll.QVol_GetVolForAbsoluteStrike($E$101,H123,$S$102,$F$97)</f>
        <v>5.0000000001243654</v>
      </c>
      <c r="O123" s="84">
        <f t="shared" si="20"/>
        <v>18750</v>
      </c>
      <c r="P123" s="11">
        <f ca="1">_xll.QInterp_Interpolate1d($F$95,O123)</f>
        <v>3.2884984156717739E-16</v>
      </c>
      <c r="Q123" s="11">
        <f ca="1">_xll.QInterp_Interpolate1d($V$95,O123)</f>
        <v>2.7495288217782239E-16</v>
      </c>
      <c r="R123" s="11">
        <f ca="1">-_xll.QOpt_BlackDelta(1,H123,$F$97,0,I123,"P")</f>
        <v>6.7780902674828836E-3</v>
      </c>
      <c r="AL123" s="1"/>
      <c r="AR123" s="1"/>
    </row>
    <row r="124" spans="8:44" x14ac:dyDescent="0.25">
      <c r="H124" s="84">
        <v>22500</v>
      </c>
      <c r="I124" s="11">
        <f ca="1">_xll.QInterp_Interpolate1d($F$94,H124)</f>
        <v>5</v>
      </c>
      <c r="J124" s="80">
        <f ca="1">_xll.QVol_GetVolForAbsoluteStrike($AH$3,H124/FundingFx!$R$25,FundingFx!$Q$25,$E$70)</f>
        <v>0.15722976327801011</v>
      </c>
      <c r="K124" s="11">
        <f ca="1">_xll.QVol_GetVolForAbsoluteStrike(FundingFx!$O$2,H124/$E$70,FundingFx!$Q$25,FundingFx!$R$25)</f>
        <v>0.20528139834326056</v>
      </c>
      <c r="L124" s="11">
        <f t="shared" ca="1" si="17"/>
        <v>0.26601073856365709</v>
      </c>
      <c r="M124" s="11">
        <f t="shared" ca="1" si="18"/>
        <v>0.27288598705088485</v>
      </c>
      <c r="N124" s="11">
        <f ca="1">_xll.QVol_GetVolForAbsoluteStrike($E$101,H124,$S$102,$F$97)</f>
        <v>5.0000000001243308</v>
      </c>
      <c r="O124" s="84">
        <f t="shared" si="20"/>
        <v>19000</v>
      </c>
      <c r="P124" s="11">
        <f ca="1">_xll.QInterp_Interpolate1d($F$95,O124)</f>
        <v>3.2884984156716388E-16</v>
      </c>
      <c r="Q124" s="11">
        <f ca="1">_xll.QInterp_Interpolate1d($V$95,O124)</f>
        <v>2.7495288217781292E-16</v>
      </c>
      <c r="R124" s="11">
        <f ca="1">-_xll.QOpt_BlackDelta(1,H124,$F$97,0,I124,"P")</f>
        <v>6.820532523323819E-3</v>
      </c>
      <c r="AL124" s="1"/>
      <c r="AR124" s="1"/>
    </row>
    <row r="125" spans="8:44" x14ac:dyDescent="0.25">
      <c r="H125" s="84">
        <v>22750</v>
      </c>
      <c r="I125" s="11">
        <f ca="1">_xll.QInterp_Interpolate1d($F$94,H125)</f>
        <v>5</v>
      </c>
      <c r="J125" s="80">
        <f ca="1">_xll.QVol_GetVolForAbsoluteStrike($AH$3,H125/FundingFx!$R$25,FundingFx!$Q$25,$E$70)</f>
        <v>0.15967268951094576</v>
      </c>
      <c r="K125" s="11">
        <f ca="1">_xll.QVol_GetVolForAbsoluteStrike(FundingFx!$O$2,H125/$E$70,FundingFx!$Q$25,FundingFx!$R$25)</f>
        <v>0.20743611084712024</v>
      </c>
      <c r="L125" s="11">
        <f t="shared" ca="1" si="17"/>
        <v>0.26793424912725222</v>
      </c>
      <c r="M125" s="11">
        <f t="shared" ca="1" si="18"/>
        <v>0.27481290574471789</v>
      </c>
      <c r="N125" s="11">
        <f ca="1">_xll.QVol_GetVolForAbsoluteStrike($E$101,H125,$S$102,$F$97)</f>
        <v>5.0000000001242917</v>
      </c>
      <c r="O125" s="84">
        <f t="shared" si="20"/>
        <v>19250</v>
      </c>
      <c r="P125" s="11">
        <f ca="1">_xll.QInterp_Interpolate1d($F$95,O125)</f>
        <v>3.2884984156715037E-16</v>
      </c>
      <c r="Q125" s="11">
        <f ca="1">_xll.QInterp_Interpolate1d($V$95,O125)</f>
        <v>2.7495288217780345E-16</v>
      </c>
      <c r="R125" s="11">
        <f ca="1">-_xll.QOpt_BlackDelta(1,H125,$F$97,0,I125,"P")</f>
        <v>6.8627365026017184E-3</v>
      </c>
      <c r="AL125" s="1"/>
      <c r="AR125" s="1"/>
    </row>
    <row r="126" spans="8:44" x14ac:dyDescent="0.25">
      <c r="H126" s="84">
        <v>23000</v>
      </c>
      <c r="I126" s="11">
        <f ca="1">_xll.QInterp_Interpolate1d($F$94,H126)</f>
        <v>5</v>
      </c>
      <c r="J126" s="80">
        <f ca="1">_xll.QVol_GetVolForAbsoluteStrike($AH$3,H126/FundingFx!$R$25,FundingFx!$Q$25,$E$70)</f>
        <v>0.16198377817971535</v>
      </c>
      <c r="K126" s="11">
        <f ca="1">_xll.QVol_GetVolForAbsoluteStrike(FundingFx!$O$2,H126/$E$70,FundingFx!$Q$25,FundingFx!$R$25)</f>
        <v>0.20947767185787358</v>
      </c>
      <c r="L126" s="11">
        <f t="shared" ca="1" si="17"/>
        <v>0.26976169264120597</v>
      </c>
      <c r="M126" s="11">
        <f t="shared" ca="1" si="18"/>
        <v>0.27664173602509734</v>
      </c>
      <c r="N126" s="11">
        <f ca="1">_xll.QVol_GetVolForAbsoluteStrike($E$101,H126,$S$102,$F$97)</f>
        <v>5.0000000001242553</v>
      </c>
      <c r="O126" s="84">
        <f t="shared" si="20"/>
        <v>19500</v>
      </c>
      <c r="P126" s="11">
        <f ca="1">_xll.QInterp_Interpolate1d($F$95,O126)</f>
        <v>3.2884984156713686E-16</v>
      </c>
      <c r="Q126" s="11">
        <f ca="1">_xll.QInterp_Interpolate1d($V$95,O126)</f>
        <v>2.7495288217779404E-16</v>
      </c>
      <c r="R126" s="11">
        <f ca="1">-_xll.QOpt_BlackDelta(1,H126,$F$97,0,I126,"P")</f>
        <v>6.9047059357770779E-3</v>
      </c>
      <c r="AL126" s="1"/>
      <c r="AR126" s="1"/>
    </row>
    <row r="127" spans="8:44" x14ac:dyDescent="0.25">
      <c r="H127" s="84">
        <v>23250</v>
      </c>
      <c r="I127" s="11">
        <f ca="1">_xll.QInterp_Interpolate1d($F$94,H127)</f>
        <v>5</v>
      </c>
      <c r="J127" s="80">
        <f ca="1">_xll.QVol_GetVolForAbsoluteStrike($AH$3,H127/FundingFx!$R$25,FundingFx!$Q$25,$E$70)</f>
        <v>0.16416613866521138</v>
      </c>
      <c r="K127" s="11">
        <f ca="1">_xll.QVol_GetVolForAbsoluteStrike(FundingFx!$O$2,H127/$E$70,FundingFx!$Q$25,FundingFx!$R$25)</f>
        <v>0.21140885854509978</v>
      </c>
      <c r="L127" s="11">
        <f t="shared" ca="1" si="17"/>
        <v>0.27149411513543853</v>
      </c>
      <c r="M127" s="11">
        <f t="shared" ca="1" si="18"/>
        <v>0.27837441518040013</v>
      </c>
      <c r="N127" s="11">
        <f ca="1">_xll.QVol_GetVolForAbsoluteStrike($E$101,H127,$S$102,$F$97)</f>
        <v>5.0000000001242197</v>
      </c>
      <c r="O127" s="84">
        <f t="shared" si="20"/>
        <v>19750</v>
      </c>
      <c r="P127" s="11">
        <f ca="1">_xll.QInterp_Interpolate1d($F$95,O127)</f>
        <v>3.288498415671233E-16</v>
      </c>
      <c r="Q127" s="11">
        <f ca="1">_xll.QInterp_Interpolate1d($V$95,O127)</f>
        <v>2.7495288217778457E-16</v>
      </c>
      <c r="R127" s="11">
        <f ca="1">-_xll.QOpt_BlackDelta(1,H127,$F$97,0,I127,"P")</f>
        <v>6.9464444563640537E-3</v>
      </c>
      <c r="AL127" s="1"/>
      <c r="AR127" s="1"/>
    </row>
    <row r="128" spans="8:44" x14ac:dyDescent="0.25">
      <c r="H128" s="84">
        <v>23500</v>
      </c>
      <c r="I128" s="11">
        <f ca="1">_xll.QInterp_Interpolate1d($F$94,H128)</f>
        <v>5</v>
      </c>
      <c r="J128" s="80">
        <f ca="1">_xll.QVol_GetVolForAbsoluteStrike($AH$3,H128/FundingFx!$R$25,FundingFx!$Q$25,$E$70)</f>
        <v>0.16622371403753186</v>
      </c>
      <c r="K128" s="11">
        <f ca="1">_xll.QVol_GetVolForAbsoluteStrike(FundingFx!$O$2,H128/$E$70,FundingFx!$Q$25,FundingFx!$R$25)</f>
        <v>0.21323325132757093</v>
      </c>
      <c r="L128" s="11">
        <f t="shared" ca="1" si="17"/>
        <v>0.27313338589785446</v>
      </c>
      <c r="M128" s="11">
        <f t="shared" ca="1" si="18"/>
        <v>0.28001366374404385</v>
      </c>
      <c r="N128" s="11">
        <f ca="1">_xll.QVol_GetVolForAbsoluteStrike($E$101,H128,$S$102,$F$97)</f>
        <v>5.0000000001241833</v>
      </c>
      <c r="O128" s="84">
        <f t="shared" si="20"/>
        <v>20000</v>
      </c>
      <c r="P128" s="11">
        <f ca="1">_xll.QInterp_Interpolate1d($F$95,O128)</f>
        <v>3.288498415671098E-16</v>
      </c>
      <c r="Q128" s="11">
        <f ca="1">_xll.QInterp_Interpolate1d($V$95,O128)</f>
        <v>2.749528821777751E-16</v>
      </c>
      <c r="R128" s="11">
        <f ca="1">-_xll.QOpt_BlackDelta(1,H128,$F$97,0,I128,"P")</f>
        <v>6.9879556044434299E-3</v>
      </c>
      <c r="AL128" s="1"/>
      <c r="AR128" s="1"/>
    </row>
    <row r="129" spans="8:44" x14ac:dyDescent="0.25">
      <c r="H129" s="84">
        <v>23750</v>
      </c>
      <c r="I129" s="11">
        <f ca="1">_xll.QInterp_Interpolate1d($F$94,H129)</f>
        <v>5</v>
      </c>
      <c r="J129" s="80">
        <f ca="1">_xll.QVol_GetVolForAbsoluteStrike($AH$3,H129/FundingFx!$R$25,FundingFx!$Q$25,$E$70)</f>
        <v>0.1681609530760092</v>
      </c>
      <c r="K129" s="11">
        <f ca="1">_xll.QVol_GetVolForAbsoluteStrike(FundingFx!$O$2,H129/$E$70,FundingFx!$Q$25,FundingFx!$R$25)</f>
        <v>0.21495493840706498</v>
      </c>
      <c r="L129" s="11">
        <f t="shared" ca="1" si="17"/>
        <v>0.27468193027954146</v>
      </c>
      <c r="M129" s="11">
        <f t="shared" ca="1" si="18"/>
        <v>0.28156271829381752</v>
      </c>
      <c r="N129" s="11">
        <f ca="1">_xll.QVol_GetVolForAbsoluteStrike($E$101,H129,$S$102,$F$97)</f>
        <v>5.0000000001241469</v>
      </c>
      <c r="O129" s="84">
        <f t="shared" si="20"/>
        <v>20250</v>
      </c>
      <c r="P129" s="11">
        <f ca="1">_xll.QInterp_Interpolate1d($F$95,O129)</f>
        <v>3.2884984156709629E-16</v>
      </c>
      <c r="Q129" s="11">
        <f ca="1">_xll.QInterp_Interpolate1d($V$95,O129)</f>
        <v>2.7495288217776569E-16</v>
      </c>
      <c r="R129" s="11">
        <f ca="1">-_xll.QOpt_BlackDelta(1,H129,$F$97,0,I129,"P")</f>
        <v>7.0292428300121612E-3</v>
      </c>
      <c r="AL129" s="1"/>
      <c r="AR129" s="1"/>
    </row>
    <row r="130" spans="8:44" x14ac:dyDescent="0.25">
      <c r="H130" s="84">
        <v>24000</v>
      </c>
      <c r="I130" s="11">
        <f ca="1">_xll.QInterp_Interpolate1d($F$94,H130)</f>
        <v>4.9999999999999991</v>
      </c>
      <c r="J130" s="80">
        <f ca="1">_xll.QVol_GetVolForAbsoluteStrike($AH$3,H130/FundingFx!$R$25,FundingFx!$Q$25,$E$70)</f>
        <v>0.16998258750795206</v>
      </c>
      <c r="K130" s="11">
        <f ca="1">_xll.QVol_GetVolForAbsoluteStrike(FundingFx!$O$2,H130/$E$70,FundingFx!$Q$25,FundingFx!$R$25)</f>
        <v>0.21657830229327504</v>
      </c>
      <c r="L130" s="11">
        <f t="shared" ca="1" si="17"/>
        <v>0.27614254150127654</v>
      </c>
      <c r="M130" s="11">
        <f t="shared" ca="1" si="18"/>
        <v>0.28302513582348693</v>
      </c>
      <c r="N130" s="11">
        <f ca="1">_xll.QVol_GetVolForAbsoluteStrike($E$101,H130,$S$102,$F$97)</f>
        <v>5.0000000001241105</v>
      </c>
      <c r="O130" s="84">
        <f t="shared" si="20"/>
        <v>20500</v>
      </c>
      <c r="P130" s="11">
        <f ca="1">_xll.QInterp_Interpolate1d($F$95,O130)</f>
        <v>3.2884984156708278E-16</v>
      </c>
      <c r="Q130" s="11">
        <f ca="1">_xll.QInterp_Interpolate1d($V$95,O130)</f>
        <v>2.7495288217775622E-16</v>
      </c>
      <c r="R130" s="11">
        <f ca="1">-_xll.QOpt_BlackDelta(1,H130,$F$97,0,I130,"P")</f>
        <v>7.0703094961799273E-3</v>
      </c>
      <c r="AL130" s="1"/>
      <c r="AR130" s="1"/>
    </row>
    <row r="131" spans="8:44" x14ac:dyDescent="0.25">
      <c r="H131" s="84">
        <v>24250</v>
      </c>
      <c r="I131" s="11">
        <f ca="1">_xll.QInterp_Interpolate1d($F$94,H131)</f>
        <v>5</v>
      </c>
      <c r="J131" s="80">
        <f ca="1">_xll.QVol_GetVolForAbsoluteStrike($AH$3,H131/FundingFx!$R$25,FundingFx!$Q$25,$E$70)</f>
        <v>0.17169348125861827</v>
      </c>
      <c r="K131" s="11">
        <f ca="1">_xll.QVol_GetVolForAbsoluteStrike(FundingFx!$O$2,H131/$E$70,FundingFx!$Q$25,FundingFx!$R$25)</f>
        <v>0.2181078666303454</v>
      </c>
      <c r="L131" s="11">
        <f t="shared" ca="1" si="17"/>
        <v>0.27751824776794298</v>
      </c>
      <c r="M131" s="11">
        <f t="shared" ca="1" si="18"/>
        <v>0.28440465127277209</v>
      </c>
      <c r="N131" s="11">
        <f ca="1">_xll.QVol_GetVolForAbsoluteStrike($E$101,H131,$S$102,$F$97)</f>
        <v>5.0000000001240767</v>
      </c>
      <c r="O131" s="84">
        <f t="shared" si="20"/>
        <v>20750</v>
      </c>
      <c r="P131" s="11">
        <f ca="1">_xll.QInterp_Interpolate1d($F$95,O131)</f>
        <v>3.2884984156706927E-16</v>
      </c>
      <c r="Q131" s="11">
        <f ca="1">_xll.QInterp_Interpolate1d($V$95,O131)</f>
        <v>2.7495288217774676E-16</v>
      </c>
      <c r="R131" s="11">
        <f ca="1">-_xll.QOpt_BlackDelta(1,H131,$F$97,0,I131,"P")</f>
        <v>7.1111588822201366E-3</v>
      </c>
      <c r="AL131" s="1"/>
      <c r="AR131" s="1"/>
    </row>
    <row r="132" spans="8:44" x14ac:dyDescent="0.25">
      <c r="H132" s="84">
        <v>24500</v>
      </c>
      <c r="I132" s="11">
        <f ca="1">_xll.QInterp_Interpolate1d($F$94,H132)</f>
        <v>5</v>
      </c>
      <c r="J132" s="80">
        <f ca="1">_xll.QVol_GetVolForAbsoluteStrike($AH$3,H132/FundingFx!$R$25,FundingFx!$Q$25,$E$70)</f>
        <v>0.17329852909497692</v>
      </c>
      <c r="K132" s="11">
        <f ca="1">_xll.QVol_GetVolForAbsoluteStrike(FundingFx!$O$2,H132/$E$70,FundingFx!$Q$25,FundingFx!$R$25)</f>
        <v>0.2195481872500214</v>
      </c>
      <c r="L132" s="11">
        <f t="shared" ca="1" si="17"/>
        <v>0.27881221825943908</v>
      </c>
      <c r="M132" s="11">
        <f t="shared" ca="1" si="18"/>
        <v>0.28570507443865278</v>
      </c>
      <c r="N132" s="11">
        <f ca="1">_xll.QVol_GetVolForAbsoluteStrike($E$101,H132,$S$102,$F$97)</f>
        <v>5.0000000001240403</v>
      </c>
      <c r="O132" s="84">
        <f t="shared" si="20"/>
        <v>21000</v>
      </c>
      <c r="P132" s="11">
        <f ca="1">_xll.QInterp_Interpolate1d($F$95,O132)</f>
        <v>3.2884984156705576E-16</v>
      </c>
      <c r="Q132" s="11">
        <f ca="1">_xll.QInterp_Interpolate1d($V$95,O132)</f>
        <v>2.7495288217773734E-16</v>
      </c>
      <c r="R132" s="11">
        <f ca="1">-_xll.QOpt_BlackDelta(1,H132,$F$97,0,I132,"P")</f>
        <v>7.1517941864845946E-3</v>
      </c>
      <c r="AL132" s="1"/>
      <c r="AR132" s="1"/>
    </row>
    <row r="133" spans="8:44" x14ac:dyDescent="0.25">
      <c r="H133" s="84">
        <v>24750</v>
      </c>
      <c r="I133" s="11">
        <f ca="1">_xll.QInterp_Interpolate1d($F$94,H133)</f>
        <v>5</v>
      </c>
      <c r="J133" s="80">
        <f ca="1">_xll.QVol_GetVolForAbsoluteStrike($AH$3,H133/FundingFx!$R$25,FundingFx!$Q$25,$E$70)</f>
        <v>0.17480258923502659</v>
      </c>
      <c r="K133" s="11">
        <f ca="1">_xll.QVol_GetVolForAbsoluteStrike(FundingFx!$O$2,H133/$E$70,FundingFx!$Q$25,FundingFx!$R$25)</f>
        <v>0.22090377561478036</v>
      </c>
      <c r="L133" s="11">
        <f t="shared" ca="1" si="17"/>
        <v>0.2800276965818439</v>
      </c>
      <c r="M133" s="11">
        <f t="shared" ca="1" si="18"/>
        <v>0.28693021603132579</v>
      </c>
      <c r="N133" s="11">
        <f ca="1">_xll.QVol_GetVolForAbsoluteStrike($E$101,H133,$S$102,$F$97)</f>
        <v>5.0000000001240057</v>
      </c>
      <c r="O133" s="84">
        <f t="shared" si="20"/>
        <v>21250</v>
      </c>
      <c r="P133" s="11">
        <f ca="1">_xll.QInterp_Interpolate1d($F$95,O133)</f>
        <v>3.288498415670422E-16</v>
      </c>
      <c r="Q133" s="11">
        <f ca="1">_xll.QInterp_Interpolate1d($V$95,O133)</f>
        <v>2.7495288217772787E-16</v>
      </c>
      <c r="R133" s="11">
        <f ca="1">-_xll.QOpt_BlackDelta(1,H133,$F$97,0,I133,"P")</f>
        <v>7.1922185291876106E-3</v>
      </c>
      <c r="AL133" s="1"/>
      <c r="AR133" s="1"/>
    </row>
    <row r="134" spans="8:44" x14ac:dyDescent="0.25">
      <c r="H134" s="84">
        <v>25000</v>
      </c>
      <c r="I134" s="11">
        <f ca="1">_xll.QInterp_Interpolate1d($F$94,H134)</f>
        <v>5</v>
      </c>
      <c r="J134" s="80">
        <f ca="1">_xll.QVol_GetVolForAbsoluteStrike($AH$3,H134/FundingFx!$R$25,FundingFx!$Q$25,$E$70)</f>
        <v>0.17621043932573208</v>
      </c>
      <c r="K134" s="11">
        <f ca="1">_xll.QVol_GetVolForAbsoluteStrike(FundingFx!$O$2,H134/$E$70,FundingFx!$Q$25,FundingFx!$R$25)</f>
        <v>0.22217904595947716</v>
      </c>
      <c r="L134" s="11">
        <f t="shared" ca="1" si="17"/>
        <v>0.28116795368457387</v>
      </c>
      <c r="M134" s="11">
        <f t="shared" ca="1" si="18"/>
        <v>0.28808383529116705</v>
      </c>
      <c r="N134" s="11">
        <f ca="1">_xll.QVol_GetVolForAbsoluteStrike($E$101,H134,$S$102,$F$97)</f>
        <v>5.0000000001239711</v>
      </c>
      <c r="O134" s="84">
        <f t="shared" si="20"/>
        <v>21500</v>
      </c>
      <c r="P134" s="11">
        <f ca="1">_xll.QInterp_Interpolate1d($F$95,O134)</f>
        <v>3.2884984156702869E-16</v>
      </c>
      <c r="Q134" s="11">
        <f ca="1">_xll.QInterp_Interpolate1d($V$95,O134)</f>
        <v>2.7495288217771841E-16</v>
      </c>
      <c r="R134" s="11">
        <f ca="1">-_xll.QOpt_BlackDelta(1,H134,$F$97,0,I134,"P")</f>
        <v>7.2324349550688671E-3</v>
      </c>
      <c r="AL134" s="1"/>
      <c r="AR134" s="1"/>
    </row>
    <row r="135" spans="8:44" x14ac:dyDescent="0.25">
      <c r="H135" s="84">
        <v>25250</v>
      </c>
      <c r="I135" s="11">
        <f ca="1">_xll.QInterp_Interpolate1d($F$94,H135)</f>
        <v>5</v>
      </c>
      <c r="J135" s="80">
        <f ca="1">_xll.QVol_GetVolForAbsoluteStrike($AH$3,H135/FundingFx!$R$25,FundingFx!$Q$25,$E$70)</f>
        <v>0.1775267484779986</v>
      </c>
      <c r="K135" s="11">
        <f ca="1">_xll.QVol_GetVolForAbsoluteStrike(FundingFx!$O$2,H135/$E$70,FundingFx!$Q$25,FundingFx!$R$25)</f>
        <v>0.22337827975274052</v>
      </c>
      <c r="L135" s="11">
        <f t="shared" ca="1" si="17"/>
        <v>0.28223625461458812</v>
      </c>
      <c r="M135" s="11">
        <f t="shared" ca="1" si="18"/>
        <v>0.28916960355133697</v>
      </c>
      <c r="N135" s="11">
        <f ca="1">_xll.QVol_GetVolForAbsoluteStrike($E$101,H135,$S$102,$F$97)</f>
        <v>5.0000000001239364</v>
      </c>
      <c r="O135" s="84">
        <f>O134+500</f>
        <v>22000</v>
      </c>
      <c r="P135" s="11">
        <f ca="1">_xll.QInterp_Interpolate1d($F$95,O135)</f>
        <v>3.2884984156700167E-16</v>
      </c>
      <c r="Q135" s="11">
        <f ca="1">_xll.QInterp_Interpolate1d($V$95,O135)</f>
        <v>2.7495288217769952E-16</v>
      </c>
      <c r="R135" s="11">
        <f ca="1">-_xll.QOpt_BlackDelta(1,H135,$F$97,0,I135,"P")</f>
        <v>7.2724464359391616E-3</v>
      </c>
      <c r="AL135" s="1"/>
      <c r="AR135" s="1"/>
    </row>
    <row r="136" spans="8:44" x14ac:dyDescent="0.25">
      <c r="H136" s="84">
        <v>25500</v>
      </c>
      <c r="I136" s="11">
        <f ca="1">_xll.QInterp_Interpolate1d($F$94,H136)</f>
        <v>5</v>
      </c>
      <c r="J136" s="80">
        <f ca="1">_xll.QVol_GetVolForAbsoluteStrike($AH$3,H136/FundingFx!$R$25,FundingFx!$Q$25,$E$70)</f>
        <v>0.17875606028421628</v>
      </c>
      <c r="K136" s="11">
        <f ca="1">_xll.QVol_GetVolForAbsoluteStrike(FundingFx!$O$2,H136/$E$70,FundingFx!$Q$25,FundingFx!$R$25)</f>
        <v>0.22450560279272774</v>
      </c>
      <c r="L136" s="11">
        <f t="shared" ca="1" si="17"/>
        <v>0.28323583511564182</v>
      </c>
      <c r="M136" s="11">
        <f t="shared" ca="1" si="18"/>
        <v>0.2901910795840445</v>
      </c>
      <c r="N136" s="11">
        <f ca="1">_xll.QVol_GetVolForAbsoluteStrike($E$101,H136,$S$102,$F$97)</f>
        <v>5.0000000001239027</v>
      </c>
      <c r="O136" s="84">
        <f t="shared" ref="O136:O149" si="21">O135+500</f>
        <v>22500</v>
      </c>
      <c r="P136" s="11">
        <f ca="1">_xll.QInterp_Interpolate1d($F$95,O136)</f>
        <v>3.288498415669746E-16</v>
      </c>
      <c r="Q136" s="11">
        <f ca="1">_xll.QInterp_Interpolate1d($V$95,O136)</f>
        <v>2.7495288217768064E-16</v>
      </c>
      <c r="R136" s="11">
        <f ca="1">-_xll.QOpt_BlackDelta(1,H136,$F$97,0,I136,"P")</f>
        <v>7.3122558731165688E-3</v>
      </c>
      <c r="AL136" s="1"/>
      <c r="AR136" s="1"/>
    </row>
    <row r="137" spans="8:44" x14ac:dyDescent="0.25">
      <c r="H137" s="84">
        <v>25750</v>
      </c>
      <c r="I137" s="11">
        <f ca="1">_xll.QInterp_Interpolate1d($F$94,H137)</f>
        <v>5</v>
      </c>
      <c r="J137" s="80">
        <f ca="1">_xll.QVol_GetVolForAbsoluteStrike($AH$3,H137/FundingFx!$R$25,FundingFx!$Q$25,$E$70)</f>
        <v>0.1799027832795014</v>
      </c>
      <c r="K137" s="11">
        <f ca="1">_xll.QVol_GetVolForAbsoluteStrike(FundingFx!$O$2,H137/$E$70,FundingFx!$Q$25,FundingFx!$R$25)</f>
        <v>0.22556497149136134</v>
      </c>
      <c r="L137" s="11">
        <f t="shared" ca="1" si="17"/>
        <v>0.28416988522341496</v>
      </c>
      <c r="M137" s="11">
        <f t="shared" ca="1" si="18"/>
        <v>0.29115169364109728</v>
      </c>
      <c r="N137" s="11">
        <f ca="1">_xll.QVol_GetVolForAbsoluteStrike($E$101,H137,$S$102,$F$97)</f>
        <v>5.0000000001238663</v>
      </c>
      <c r="O137" s="84">
        <f t="shared" si="21"/>
        <v>23000</v>
      </c>
      <c r="P137" s="11">
        <f ca="1">_xll.QInterp_Interpolate1d($F$95,O137)</f>
        <v>3.2884984156694759E-16</v>
      </c>
      <c r="Q137" s="11">
        <f ca="1">_xll.QInterp_Interpolate1d($V$95,O137)</f>
        <v>2.7495288217766171E-16</v>
      </c>
      <c r="R137" s="11">
        <f ca="1">-_xll.QOpt_BlackDelta(1,H137,$F$97,0,I137,"P")</f>
        <v>7.3518660997592411E-3</v>
      </c>
      <c r="AL137" s="1"/>
      <c r="AR137" s="1"/>
    </row>
    <row r="138" spans="8:44" x14ac:dyDescent="0.25">
      <c r="H138" s="84">
        <v>26000</v>
      </c>
      <c r="I138" s="11">
        <f ca="1">_xll.QInterp_Interpolate1d($F$94,H138)</f>
        <v>4.9999999999999991</v>
      </c>
      <c r="J138" s="80">
        <f ca="1">_xll.QVol_GetVolForAbsoluteStrike($AH$3,H138/FundingFx!$R$25,FundingFx!$Q$25,$E$70)</f>
        <v>0.18097118636929063</v>
      </c>
      <c r="K138" s="11">
        <f ca="1">_xll.QVol_GetVolForAbsoluteStrike(FundingFx!$O$2,H138/$E$70,FundingFx!$Q$25,FundingFx!$R$25)</f>
        <v>0.22656016580410027</v>
      </c>
      <c r="L138" s="11">
        <f t="shared" ca="1" si="17"/>
        <v>0.28504153781146641</v>
      </c>
      <c r="M138" s="11">
        <f t="shared" ca="1" si="18"/>
        <v>0.2920547378868843</v>
      </c>
      <c r="N138" s="11">
        <f ca="1">_xll.QVol_GetVolForAbsoluteStrike($E$101,H138,$S$102,$F$97)</f>
        <v>5.0000000001238334</v>
      </c>
      <c r="O138" s="84">
        <f t="shared" si="21"/>
        <v>23500</v>
      </c>
      <c r="P138" s="11">
        <f ca="1">_xll.QInterp_Interpolate1d($F$95,O138)</f>
        <v>3.2884984156692057E-16</v>
      </c>
      <c r="Q138" s="11">
        <f ca="1">_xll.QInterp_Interpolate1d($V$95,O138)</f>
        <v>2.7495288217764282E-16</v>
      </c>
      <c r="R138" s="11">
        <f ca="1">-_xll.QOpt_BlackDelta(1,H138,$F$97,0,I138,"P")</f>
        <v>7.3912798830982895E-3</v>
      </c>
      <c r="AL138" s="1"/>
      <c r="AR138" s="1"/>
    </row>
    <row r="139" spans="8:44" x14ac:dyDescent="0.25">
      <c r="H139" s="84">
        <v>26250</v>
      </c>
      <c r="I139" s="11">
        <f ca="1">_xll.QInterp_Interpolate1d($F$94,H139)</f>
        <v>5</v>
      </c>
      <c r="J139" s="80">
        <f ca="1">_xll.QVol_GetVolForAbsoluteStrike($AH$3,H139/FundingFx!$R$25,FundingFx!$Q$25,$E$70)</f>
        <v>0.18196539748642412</v>
      </c>
      <c r="K139" s="11">
        <f ca="1">_xll.QVol_GetVolForAbsoluteStrike(FundingFx!$O$2,H139/$E$70,FundingFx!$Q$25,FundingFx!$R$25)</f>
        <v>0.22749478693524339</v>
      </c>
      <c r="L139" s="11">
        <f t="shared" ca="1" si="17"/>
        <v>0.28585386061447471</v>
      </c>
      <c r="M139" s="11">
        <f t="shared" ca="1" si="18"/>
        <v>0.29290336151393959</v>
      </c>
      <c r="N139" s="11">
        <f ca="1">_xll.QVol_GetVolForAbsoluteStrike($E$101,H139,$S$102,$F$97)</f>
        <v>5.0000000001237987</v>
      </c>
      <c r="O139" s="84">
        <f t="shared" si="21"/>
        <v>24000</v>
      </c>
      <c r="P139" s="11">
        <f ca="1">_xll.QInterp_Interpolate1d($F$95,O139)</f>
        <v>3.288498415668935E-16</v>
      </c>
      <c r="Q139" s="11">
        <f ca="1">_xll.QInterp_Interpolate1d($V$95,O139)</f>
        <v>2.7495288217762394E-16</v>
      </c>
      <c r="R139" s="11">
        <f ca="1">-_xll.QOpt_BlackDelta(1,H139,$F$97,0,I139,"P")</f>
        <v>7.4304999265779603E-3</v>
      </c>
      <c r="AL139" s="1"/>
      <c r="AR139" s="1"/>
    </row>
    <row r="140" spans="8:44" x14ac:dyDescent="0.25">
      <c r="H140" s="84">
        <v>26500</v>
      </c>
      <c r="I140" s="11">
        <f ca="1">_xll.QInterp_Interpolate1d($F$94,H140)</f>
        <v>5</v>
      </c>
      <c r="J140" s="80">
        <f ca="1">_xll.QVol_GetVolForAbsoluteStrike($AH$3,H140/FundingFx!$R$25,FundingFx!$Q$25,$E$70)</f>
        <v>0.18288940426055275</v>
      </c>
      <c r="K140" s="11">
        <f ca="1">_xll.QVol_GetVolForAbsoluteStrike(FundingFx!$O$2,H140/$E$70,FundingFx!$Q$25,FundingFx!$R$25)</f>
        <v>0.22837225842776962</v>
      </c>
      <c r="L140" s="11">
        <f t="shared" ca="1" si="17"/>
        <v>0.28660985066429767</v>
      </c>
      <c r="M140" s="11">
        <f t="shared" ca="1" si="18"/>
        <v>0.29370056925572169</v>
      </c>
      <c r="N140" s="11">
        <f ca="1">_xll.QVol_GetVolForAbsoluteStrike($E$101,H140,$S$102,$F$97)</f>
        <v>5.0000000001237641</v>
      </c>
      <c r="O140" s="84">
        <f t="shared" si="21"/>
        <v>24500</v>
      </c>
      <c r="P140" s="11">
        <f ca="1">_xll.QInterp_Interpolate1d($F$95,O140)</f>
        <v>3.2884984156686648E-16</v>
      </c>
      <c r="Q140" s="11">
        <f ca="1">_xll.QInterp_Interpolate1d($V$95,O140)</f>
        <v>2.7495288217760501E-16</v>
      </c>
      <c r="R140" s="11">
        <f ca="1">-_xll.QOpt_BlackDelta(1,H140,$F$97,0,I140,"P")</f>
        <v>7.469528871906661E-3</v>
      </c>
      <c r="AL140" s="1"/>
      <c r="AR140" s="1"/>
    </row>
    <row r="141" spans="8:44" x14ac:dyDescent="0.25">
      <c r="H141" s="84">
        <v>26750</v>
      </c>
      <c r="I141" s="11">
        <f ca="1">_xll.QInterp_Interpolate1d($F$94,H141)</f>
        <v>5</v>
      </c>
      <c r="J141" s="80">
        <f ca="1">_xll.QVol_GetVolForAbsoluteStrike($AH$3,H141/FundingFx!$R$25,FundingFx!$Q$25,$E$70)</f>
        <v>0.18374705585269085</v>
      </c>
      <c r="K141" s="11">
        <f ca="1">_xll.QVol_GetVolForAbsoluteStrike(FundingFx!$O$2,H141/$E$70,FundingFx!$Q$25,FundingFx!$R$25)</f>
        <v>0.22919582961610116</v>
      </c>
      <c r="L141" s="11">
        <f t="shared" ca="1" si="17"/>
        <v>0.28731243037175258</v>
      </c>
      <c r="M141" s="11">
        <f t="shared" ca="1" si="18"/>
        <v>0.29444922234158288</v>
      </c>
      <c r="N141" s="11">
        <f ca="1">_xll.QVol_GetVolForAbsoluteStrike($E$101,H141,$S$102,$F$97)</f>
        <v>5.0000000001237321</v>
      </c>
      <c r="O141" s="84">
        <f t="shared" si="21"/>
        <v>25000</v>
      </c>
      <c r="P141" s="11">
        <f ca="1">_xll.QInterp_Interpolate1d($F$95,O141)</f>
        <v>3.2884984156683946E-16</v>
      </c>
      <c r="Q141" s="11">
        <f ca="1">_xll.QInterp_Interpolate1d($V$95,O141)</f>
        <v>2.7495288217758612E-16</v>
      </c>
      <c r="R141" s="11">
        <f ca="1">-_xll.QOpt_BlackDelta(1,H141,$F$97,0,I141,"P")</f>
        <v>7.5083693010234986E-3</v>
      </c>
      <c r="AL141" s="1"/>
      <c r="AR141" s="1"/>
    </row>
    <row r="142" spans="8:44" x14ac:dyDescent="0.25">
      <c r="H142" s="84">
        <v>27000</v>
      </c>
      <c r="I142" s="11">
        <f ca="1">_xll.QInterp_Interpolate1d($F$94,H142)</f>
        <v>5</v>
      </c>
      <c r="J142" s="80">
        <f ca="1">_xll.QVol_GetVolForAbsoluteStrike($AH$3,H142/FundingFx!$R$25,FundingFx!$Q$25,$E$70)</f>
        <v>0.18454206536987958</v>
      </c>
      <c r="K142" s="11">
        <f ca="1">_xll.QVol_GetVolForAbsoluteStrike(FundingFx!$O$2,H142/$E$70,FundingFx!$Q$25,FundingFx!$R$25)</f>
        <v>0.22996858068324752</v>
      </c>
      <c r="L142" s="11">
        <f t="shared" ca="1" si="17"/>
        <v>0.28796444470236943</v>
      </c>
      <c r="M142" s="11">
        <f t="shared" ca="1" si="18"/>
        <v>0.29515204117608723</v>
      </c>
      <c r="N142" s="11">
        <f ca="1">_xll.QVol_GetVolForAbsoluteStrike($E$101,H142,$S$102,$F$97)</f>
        <v>5.0000000001236984</v>
      </c>
      <c r="O142" s="84">
        <f t="shared" si="21"/>
        <v>25500</v>
      </c>
      <c r="P142" s="11">
        <f ca="1">_xll.QInterp_Interpolate1d($F$95,O142)</f>
        <v>3.2884984156681239E-16</v>
      </c>
      <c r="Q142" s="11">
        <f ca="1">_xll.QInterp_Interpolate1d($V$95,O142)</f>
        <v>2.7495288217756724E-16</v>
      </c>
      <c r="R142" s="11">
        <f ca="1">-_xll.QOpt_BlackDelta(1,H142,$F$97,0,I142,"P")</f>
        <v>7.5470237379847704E-3</v>
      </c>
      <c r="AL142" s="1"/>
      <c r="AR142" s="1"/>
    </row>
    <row r="143" spans="8:44" x14ac:dyDescent="0.25">
      <c r="H143" s="84">
        <v>27250</v>
      </c>
      <c r="I143" s="11">
        <f ca="1">_xll.QInterp_Interpolate1d($F$94,H143)</f>
        <v>5</v>
      </c>
      <c r="J143" s="80">
        <f ca="1">_xll.QVol_GetVolForAbsoluteStrike($AH$3,H143/FundingFx!$R$25,FundingFx!$Q$25,$E$70)</f>
        <v>0.1852780124696925</v>
      </c>
      <c r="K143" s="11">
        <f ca="1">_xll.QVol_GetVolForAbsoluteStrike(FundingFx!$O$2,H143/$E$70,FundingFx!$Q$25,FundingFx!$R$25)</f>
        <v>0.23069342876359214</v>
      </c>
      <c r="L143" s="11">
        <f t="shared" ca="1" si="17"/>
        <v>0.28856865905797835</v>
      </c>
      <c r="M143" s="11">
        <f t="shared" ca="1" si="18"/>
        <v>0.29581160920659233</v>
      </c>
      <c r="N143" s="11">
        <f ca="1">_xll.QVol_GetVolForAbsoluteStrike($E$101,H143,$S$102,$F$97)</f>
        <v>5.0000000001236655</v>
      </c>
      <c r="O143" s="84">
        <f t="shared" si="21"/>
        <v>26000</v>
      </c>
      <c r="P143" s="11">
        <f ca="1">_xll.QInterp_Interpolate1d($F$95,O143)</f>
        <v>3.2884984156678538E-16</v>
      </c>
      <c r="Q143" s="11">
        <f ca="1">_xll.QInterp_Interpolate1d($V$95,O143)</f>
        <v>2.7495288217754831E-16</v>
      </c>
      <c r="R143" s="11">
        <f ca="1">-_xll.QOpt_BlackDelta(1,H143,$F$97,0,I143,"P")</f>
        <v>7.5854946507744048E-3</v>
      </c>
      <c r="AL143" s="1"/>
      <c r="AR143" s="1"/>
    </row>
    <row r="144" spans="8:44" x14ac:dyDescent="0.25">
      <c r="H144" s="84">
        <v>27500</v>
      </c>
      <c r="I144" s="11">
        <f ca="1">_xll.QInterp_Interpolate1d($F$94,H144)</f>
        <v>5</v>
      </c>
      <c r="J144" s="80">
        <f ca="1">_xll.QVol_GetVolForAbsoluteStrike($AH$3,H144/FundingFx!$R$25,FundingFx!$Q$25,$E$70)</f>
        <v>0.18595834589863372</v>
      </c>
      <c r="K144" s="11">
        <f ca="1">_xll.QVol_GetVolForAbsoluteStrike(FundingFx!$O$2,H144/$E$70,FundingFx!$Q$25,FundingFx!$R$25)</f>
        <v>0.23137313468038581</v>
      </c>
      <c r="L144" s="11">
        <f t="shared" ca="1" si="17"/>
        <v>0.28912775759178327</v>
      </c>
      <c r="M144" s="11">
        <f t="shared" ca="1" si="18"/>
        <v>0.29643037757869906</v>
      </c>
      <c r="N144" s="11">
        <f ca="1">_xll.QVol_GetVolForAbsoluteStrike($E$101,H144,$S$102,$F$97)</f>
        <v>5.0000000001236309</v>
      </c>
      <c r="O144" s="84">
        <f t="shared" si="21"/>
        <v>26500</v>
      </c>
      <c r="P144" s="11">
        <f ca="1">_xll.QInterp_Interpolate1d($F$95,O144)</f>
        <v>3.2884984156675836E-16</v>
      </c>
      <c r="Q144" s="11">
        <f ca="1">_xll.QInterp_Interpolate1d($V$95,O144)</f>
        <v>2.7495288217752942E-16</v>
      </c>
      <c r="R144" s="11">
        <f ca="1">-_xll.QOpt_BlackDelta(1,H144,$F$97,0,I144,"P")</f>
        <v>7.62378445304146E-3</v>
      </c>
      <c r="AL144" s="1"/>
      <c r="AR144" s="1"/>
    </row>
    <row r="145" spans="2:44" x14ac:dyDescent="0.25">
      <c r="H145" s="84">
        <v>27750</v>
      </c>
      <c r="I145" s="11">
        <f ca="1">_xll.QInterp_Interpolate1d($F$94,H145)</f>
        <v>5</v>
      </c>
      <c r="J145" s="80">
        <f ca="1">_xll.QVol_GetVolForAbsoluteStrike($AH$3,H145/FundingFx!$R$25,FundingFx!$Q$25,$E$70)</f>
        <v>0.18658638581441683</v>
      </c>
      <c r="K145" s="11">
        <f ca="1">_xll.QVol_GetVolForAbsoluteStrike(FundingFx!$O$2,H145/$E$70,FundingFx!$Q$25,FundingFx!$R$25)</f>
        <v>0.2320103100175393</v>
      </c>
      <c r="L145" s="11">
        <f t="shared" ca="1" si="17"/>
        <v>0.2896443417777495</v>
      </c>
      <c r="M145" s="11">
        <f t="shared" ca="1" si="18"/>
        <v>0.29701067028162653</v>
      </c>
      <c r="N145" s="11">
        <f ca="1">_xll.QVol_GetVolForAbsoluteStrike($E$101,H145,$S$102,$F$97)</f>
        <v>5.000000000123598</v>
      </c>
      <c r="O145" s="84">
        <f t="shared" si="21"/>
        <v>27000</v>
      </c>
      <c r="P145" s="11">
        <f ca="1">_xll.QInterp_Interpolate1d($F$95,O145)</f>
        <v>3.2884984156673129E-16</v>
      </c>
      <c r="Q145" s="11">
        <f ca="1">_xll.QInterp_Interpolate1d($V$95,O145)</f>
        <v>2.7495288217751054E-16</v>
      </c>
      <c r="R145" s="11">
        <f ca="1">-_xll.QOpt_BlackDelta(1,H145,$F$97,0,I145,"P")</f>
        <v>7.661895505769345E-3</v>
      </c>
      <c r="AL145" s="1"/>
      <c r="AR145" s="1"/>
    </row>
    <row r="146" spans="2:44" x14ac:dyDescent="0.25">
      <c r="H146" s="84">
        <v>28000</v>
      </c>
      <c r="I146" s="11">
        <f ca="1">_xll.QInterp_Interpolate1d($F$94,H146)</f>
        <v>5</v>
      </c>
      <c r="J146" s="80">
        <f ca="1">_xll.QVol_GetVolForAbsoluteStrike($AH$3,H146/FundingFx!$R$25,FundingFx!$Q$25,$E$70)</f>
        <v>0.18716532581528561</v>
      </c>
      <c r="K146" s="11">
        <f ca="1">_xll.QVol_GetVolForAbsoluteStrike(FundingFx!$O$2,H146/$E$70,FundingFx!$Q$25,FundingFx!$R$25)</f>
        <v>0.23260742430803263</v>
      </c>
      <c r="L146" s="11">
        <f t="shared" ca="1" si="17"/>
        <v>0.29012092912148085</v>
      </c>
      <c r="M146" s="11">
        <f t="shared" ca="1" si="18"/>
        <v>0.29755468956302739</v>
      </c>
      <c r="N146" s="11">
        <f ca="1">_xll.QVol_GetVolForAbsoluteStrike($E$101,H146,$S$102,$F$97)</f>
        <v>5.0000000001235634</v>
      </c>
      <c r="O146" s="84">
        <f t="shared" si="21"/>
        <v>27500</v>
      </c>
      <c r="P146" s="11">
        <f ca="1">_xll.QInterp_Interpolate1d($F$95,O146)</f>
        <v>3.2884984156670427E-16</v>
      </c>
      <c r="Q146" s="11">
        <f ca="1">_xll.QInterp_Interpolate1d($V$95,O146)</f>
        <v>2.7495288217749161E-16</v>
      </c>
      <c r="R146" s="11">
        <f ca="1">-_xll.QOpt_BlackDelta(1,H146,$F$97,0,I146,"P")</f>
        <v>7.6998301188792029E-3</v>
      </c>
      <c r="AL146" s="1"/>
      <c r="AR146" s="1"/>
    </row>
    <row r="147" spans="2:44" x14ac:dyDescent="0.25">
      <c r="H147" s="84">
        <v>28250</v>
      </c>
      <c r="I147" s="11">
        <f ca="1">_xll.QInterp_Interpolate1d($F$94,H147)</f>
        <v>5</v>
      </c>
      <c r="J147" s="80">
        <f ca="1">_xll.QVol_GetVolForAbsoluteStrike($AH$3,H147/FundingFx!$R$25,FundingFx!$Q$25,$E$70)</f>
        <v>0.18769823465520094</v>
      </c>
      <c r="K147" s="11">
        <f ca="1">_xll.QVol_GetVolForAbsoluteStrike(FundingFx!$O$2,H147/$E$70,FundingFx!$Q$25,FundingFx!$R$25)</f>
        <v>0.23316681218333765</v>
      </c>
      <c r="L147" s="11">
        <f t="shared" ca="1" si="17"/>
        <v>0.29055995195142087</v>
      </c>
      <c r="M147" s="11">
        <f t="shared" ca="1" si="18"/>
        <v>0.29806452145151352</v>
      </c>
      <c r="N147" s="11">
        <f ca="1">_xll.QVol_GetVolForAbsoluteStrike($E$101,H147,$S$102,$F$97)</f>
        <v>5.0000000001235314</v>
      </c>
      <c r="O147" s="84">
        <f t="shared" si="21"/>
        <v>28000</v>
      </c>
      <c r="P147" s="11">
        <f ca="1">_xll.QInterp_Interpolate1d($F$95,O147)</f>
        <v>3.2884984156667725E-16</v>
      </c>
      <c r="Q147" s="11">
        <f ca="1">_xll.QInterp_Interpolate1d($V$95,O147)</f>
        <v>2.7495288217747272E-16</v>
      </c>
      <c r="R147" s="11">
        <f ca="1">-_xll.QOpt_BlackDelta(1,H147,$F$97,0,I147,"P")</f>
        <v>7.7375905527703459E-3</v>
      </c>
      <c r="AL147" s="1"/>
      <c r="AR147" s="1"/>
    </row>
    <row r="148" spans="2:44" x14ac:dyDescent="0.25">
      <c r="H148" s="84">
        <v>28500</v>
      </c>
      <c r="I148" s="11">
        <f ca="1">_xll.QInterp_Interpolate1d($F$94,H148)</f>
        <v>5</v>
      </c>
      <c r="N148" s="11">
        <f ca="1">_xll.QVol_GetVolForAbsoluteStrike($E$101,H148,$S$102,$F$97)</f>
        <v>5.0000000001235012</v>
      </c>
      <c r="O148" s="84">
        <f t="shared" si="21"/>
        <v>28500</v>
      </c>
      <c r="P148" s="11">
        <f ca="1">_xll.QInterp_Interpolate1d($F$95,O148)</f>
        <v>3.2884984156665019E-16</v>
      </c>
      <c r="Q148" s="11">
        <f ca="1">_xll.QInterp_Interpolate1d($V$95,O148)</f>
        <v>2.7495288217745384E-16</v>
      </c>
      <c r="R148" s="11">
        <f ca="1">-_xll.QOpt_BlackDelta(1,H148,$F$97,0,I148,"P")</f>
        <v>7.7751790198020698E-3</v>
      </c>
      <c r="AL148" s="1"/>
      <c r="AR148" s="1"/>
    </row>
    <row r="149" spans="2:44" x14ac:dyDescent="0.25">
      <c r="H149" s="84">
        <f>H148+1000</f>
        <v>29500</v>
      </c>
      <c r="I149" s="11">
        <f ca="1">_xll.QInterp_Interpolate1d($F$94,H149)</f>
        <v>5</v>
      </c>
      <c r="N149" s="11">
        <f ca="1">_xll.QVol_GetVolForAbsoluteStrike($E$101,H149,$S$102,$F$97)</f>
        <v>5.0000000001233706</v>
      </c>
      <c r="O149" s="84">
        <f t="shared" si="21"/>
        <v>29000</v>
      </c>
      <c r="P149" s="11">
        <f ca="1">_xll.QInterp_Interpolate1d($F$95,O149)</f>
        <v>3.2884984156662317E-16</v>
      </c>
      <c r="Q149" s="11">
        <f ca="1">_xll.QInterp_Interpolate1d($V$95,O149)</f>
        <v>2.7495288217743491E-16</v>
      </c>
      <c r="R149" s="11">
        <f ca="1">-_xll.QOpt_BlackDelta(1,H149,$F$97,0,I149,"P")</f>
        <v>7.9238558633937251E-3</v>
      </c>
      <c r="AL149" s="1"/>
      <c r="AR149" s="1"/>
    </row>
    <row r="150" spans="2:44" x14ac:dyDescent="0.25">
      <c r="B150" s="84">
        <v>100</v>
      </c>
      <c r="C150" s="11">
        <f ca="1">_xll.QVol_GetVolForAbsoluteStrike($AH$3,B150,$L$70,$E$70)</f>
        <v>0.13611462351859058</v>
      </c>
      <c r="H150" s="84">
        <f t="shared" ref="H150:H158" si="22">H149+1000</f>
        <v>30500</v>
      </c>
      <c r="I150" s="11">
        <f ca="1">_xll.QInterp_Interpolate1d($F$94,H150)</f>
        <v>5</v>
      </c>
      <c r="N150" s="11">
        <f ca="1">_xll.QVol_GetVolForAbsoluteStrike($E$101,H150,$S$102,$F$97)</f>
        <v>5.0000000001232436</v>
      </c>
      <c r="O150" s="84">
        <f>O149+1000</f>
        <v>30000</v>
      </c>
      <c r="P150" s="11">
        <f ca="1">_xll.QInterp_Interpolate1d($F$95,O150)</f>
        <v>3.2884984156656908E-16</v>
      </c>
      <c r="Q150" s="11">
        <f ca="1">_xll.QInterp_Interpolate1d($V$95,O150)</f>
        <v>2.7495288217739714E-16</v>
      </c>
      <c r="R150" s="11">
        <f ca="1">-_xll.QOpt_BlackDelta(1,H150,$F$97,0,I150,"P")</f>
        <v>8.069946659177929E-3</v>
      </c>
      <c r="AL150" s="1"/>
      <c r="AR150" s="1"/>
    </row>
    <row r="151" spans="2:44" x14ac:dyDescent="0.25">
      <c r="B151" s="84">
        <v>500</v>
      </c>
      <c r="C151" s="11">
        <f ca="1">_xll.QVol_GetVolForAbsoluteStrike($AH$3,B151,$L$70,$E$70)</f>
        <v>0.13611462351859058</v>
      </c>
      <c r="H151" s="84">
        <f t="shared" si="22"/>
        <v>31500</v>
      </c>
      <c r="I151" s="11">
        <f ca="1">_xll.QInterp_Interpolate1d($F$94,H151)</f>
        <v>5</v>
      </c>
      <c r="N151" s="11">
        <f ca="1">_xll.QVol_GetVolForAbsoluteStrike($E$101,H151,$S$102,$F$97)</f>
        <v>5.0000000001231193</v>
      </c>
      <c r="O151" s="84">
        <f t="shared" ref="O151:O156" si="23">O150+1000</f>
        <v>31000</v>
      </c>
      <c r="P151" s="11">
        <f ca="1">_xll.QInterp_Interpolate1d($F$95,O151)</f>
        <v>3.2884984156651504E-16</v>
      </c>
      <c r="Q151" s="11">
        <f ca="1">_xll.QInterp_Interpolate1d($V$95,O151)</f>
        <v>2.7495288217735933E-16</v>
      </c>
      <c r="R151" s="11">
        <f ca="1">-_xll.QOpt_BlackDelta(1,H151,$F$97,0,I151,"P")</f>
        <v>8.2135727495349364E-3</v>
      </c>
      <c r="AL151" s="1"/>
      <c r="AR151" s="1"/>
    </row>
    <row r="152" spans="2:44" x14ac:dyDescent="0.25">
      <c r="B152" s="84">
        <v>550</v>
      </c>
      <c r="C152" s="11">
        <f ca="1">_xll.QVol_GetVolForAbsoluteStrike($AH$3,B152,$L$70,$E$70)</f>
        <v>0.13611462351859058</v>
      </c>
      <c r="H152" s="84">
        <f t="shared" si="22"/>
        <v>32500</v>
      </c>
      <c r="I152" s="11">
        <f ca="1">_xll.QInterp_Interpolate1d($F$94,H152)</f>
        <v>5</v>
      </c>
      <c r="N152" s="11">
        <f ca="1">_xll.QVol_GetVolForAbsoluteStrike($E$101,H152,$S$102,$F$97)</f>
        <v>5.0000000001229976</v>
      </c>
      <c r="O152" s="84">
        <f t="shared" si="23"/>
        <v>32000</v>
      </c>
      <c r="P152" s="11">
        <f ca="1">_xll.QInterp_Interpolate1d($F$95,O152)</f>
        <v>3.2884984156646096E-16</v>
      </c>
      <c r="Q152" s="11">
        <f ca="1">_xll.QInterp_Interpolate1d($V$95,O152)</f>
        <v>2.7495288217732151E-16</v>
      </c>
      <c r="R152" s="11">
        <f ca="1">-_xll.QOpt_BlackDelta(1,H152,$F$97,0,I152,"P")</f>
        <v>8.3548462495016684E-3</v>
      </c>
      <c r="AL152" s="1"/>
      <c r="AR152" s="1"/>
    </row>
    <row r="153" spans="2:44" x14ac:dyDescent="0.25">
      <c r="B153" s="84">
        <f>B152+50</f>
        <v>600</v>
      </c>
      <c r="C153" s="11">
        <f ca="1">_xll.QVol_GetVolForAbsoluteStrike($AH$3,B153,$L$70,$E$70)</f>
        <v>0.13611462351859058</v>
      </c>
      <c r="H153" s="84">
        <f t="shared" si="22"/>
        <v>33500</v>
      </c>
      <c r="I153" s="11">
        <f ca="1">_xll.QInterp_Interpolate1d($F$94,H153)</f>
        <v>5</v>
      </c>
      <c r="N153" s="11">
        <f ca="1">_xll.QVol_GetVolForAbsoluteStrike($E$101,H153,$S$102,$F$97)</f>
        <v>5.0000000001228777</v>
      </c>
      <c r="O153" s="84">
        <f t="shared" si="23"/>
        <v>33000</v>
      </c>
      <c r="P153" s="11">
        <f ca="1">_xll.QInterp_Interpolate1d($F$95,O153)</f>
        <v>3.2884984156640687E-16</v>
      </c>
      <c r="Q153" s="11">
        <f ca="1">_xll.QInterp_Interpolate1d($V$95,O153)</f>
        <v>2.7495288217728374E-16</v>
      </c>
      <c r="R153" s="11">
        <f ca="1">-_xll.QOpt_BlackDelta(1,H153,$F$97,0,I153,"P")</f>
        <v>8.4938710042969934E-3</v>
      </c>
      <c r="AL153" s="1"/>
      <c r="AR153" s="1"/>
    </row>
    <row r="154" spans="2:44" x14ac:dyDescent="0.25">
      <c r="B154" s="84">
        <f t="shared" ref="B154:B217" si="24">B153+50</f>
        <v>650</v>
      </c>
      <c r="C154" s="11">
        <f ca="1">_xll.QVol_GetVolForAbsoluteStrike($AH$3,B154,$L$70,$E$70)</f>
        <v>0.13611461767806904</v>
      </c>
      <c r="H154" s="84">
        <f t="shared" si="22"/>
        <v>34500</v>
      </c>
      <c r="I154" s="11">
        <f ca="1">_xll.QInterp_Interpolate1d($F$94,H154)</f>
        <v>5</v>
      </c>
      <c r="N154" s="11">
        <f ca="1">_xll.QVol_GetVolForAbsoluteStrike($E$101,H154,$S$102,$F$97)</f>
        <v>5.0000000001227578</v>
      </c>
      <c r="O154" s="84">
        <f t="shared" si="23"/>
        <v>34000</v>
      </c>
      <c r="P154" s="11">
        <f ca="1">_xll.QInterp_Interpolate1d($F$95,O154)</f>
        <v>3.2884984156635283E-16</v>
      </c>
      <c r="Q154" s="11">
        <f ca="1">_xll.QInterp_Interpolate1d($V$95,O154)</f>
        <v>2.7495288217724593E-16</v>
      </c>
      <c r="R154" s="11">
        <f ca="1">-_xll.QOpt_BlackDelta(1,H154,$F$97,0,I154,"P")</f>
        <v>8.6307434223460433E-3</v>
      </c>
      <c r="AL154" s="1"/>
      <c r="AR154" s="1"/>
    </row>
    <row r="155" spans="2:44" x14ac:dyDescent="0.25">
      <c r="B155" s="84">
        <f t="shared" si="24"/>
        <v>700</v>
      </c>
      <c r="C155" s="11">
        <f ca="1">_xll.QVol_GetVolForAbsoluteStrike($AH$3,B155,$L$70,$E$70)</f>
        <v>0.13611452587559683</v>
      </c>
      <c r="H155" s="84">
        <f t="shared" si="22"/>
        <v>35500</v>
      </c>
      <c r="I155" s="11">
        <f ca="1">_xll.QInterp_Interpolate1d($F$94,H155)</f>
        <v>5</v>
      </c>
      <c r="N155" s="11">
        <f ca="1">_xll.QVol_GetVolForAbsoluteStrike($E$101,H155,$S$102,$F$97)</f>
        <v>5.0000000001226423</v>
      </c>
      <c r="O155" s="84">
        <f t="shared" si="23"/>
        <v>35000</v>
      </c>
      <c r="P155" s="11">
        <f ca="1">_xll.QInterp_Interpolate1d($F$95,O155)</f>
        <v>3.2884984156629875E-16</v>
      </c>
      <c r="Q155" s="11">
        <f ca="1">_xll.QInterp_Interpolate1d($V$95,O155)</f>
        <v>2.7495288217720811E-16</v>
      </c>
      <c r="R155" s="11">
        <f ca="1">-_xll.QOpt_BlackDelta(1,H155,$F$97,0,I155,"P")</f>
        <v>8.7655532030846972E-3</v>
      </c>
      <c r="AL155" s="1"/>
      <c r="AR155" s="1"/>
    </row>
    <row r="156" spans="2:44" x14ac:dyDescent="0.25">
      <c r="B156" s="84">
        <f t="shared" si="24"/>
        <v>750</v>
      </c>
      <c r="C156" s="11">
        <f ca="1">_xll.QVol_GetVolForAbsoluteStrike($AH$3,B156,$L$70,$E$70)</f>
        <v>0.13611358836420864</v>
      </c>
      <c r="H156" s="84">
        <f t="shared" si="22"/>
        <v>36500</v>
      </c>
      <c r="I156" s="11">
        <f ca="1">_xll.QInterp_Interpolate1d($F$94,H156)</f>
        <v>5</v>
      </c>
      <c r="N156" s="11">
        <f ca="1">_xll.QVol_GetVolForAbsoluteStrike($E$101,H156,$S$102,$F$97)</f>
        <v>5.0000000001225269</v>
      </c>
      <c r="O156" s="84">
        <f t="shared" si="23"/>
        <v>36000</v>
      </c>
      <c r="P156" s="11">
        <f ca="1">_xll.QInterp_Interpolate1d($F$95,O156)</f>
        <v>3.2884984156624466E-16</v>
      </c>
      <c r="Q156" s="11">
        <f ca="1">_xll.QInterp_Interpolate1d($V$95,O156)</f>
        <v>2.7495288217717034E-16</v>
      </c>
      <c r="R156" s="11">
        <f ca="1">-_xll.QOpt_BlackDelta(1,H156,$F$97,0,I156,"P")</f>
        <v>8.8983839753842275E-3</v>
      </c>
      <c r="AL156" s="1"/>
      <c r="AR156" s="1"/>
    </row>
    <row r="157" spans="2:44" x14ac:dyDescent="0.25">
      <c r="B157" s="84">
        <f t="shared" si="24"/>
        <v>800</v>
      </c>
      <c r="C157" s="11">
        <f ca="1">_xll.QVol_GetVolForAbsoluteStrike($AH$3,B157,$L$70,$E$70)</f>
        <v>0.13610707698543709</v>
      </c>
      <c r="H157" s="84">
        <f t="shared" si="22"/>
        <v>37500</v>
      </c>
      <c r="I157" s="11">
        <f ca="1">_xll.QInterp_Interpolate1d($F$94,H157)</f>
        <v>5</v>
      </c>
      <c r="N157" s="11">
        <f ca="1">_xll.QVol_GetVolForAbsoluteStrike($E$101,H157,$S$102,$F$97)</f>
        <v>5.0000000001224141</v>
      </c>
      <c r="O157" s="84">
        <f>O156+2000</f>
        <v>38000</v>
      </c>
      <c r="P157" s="11">
        <f ca="1">_xll.QInterp_Interpolate1d($F$95,O157)</f>
        <v>3.2884984156613654E-16</v>
      </c>
      <c r="Q157" s="11">
        <f ca="1">_xll.QInterp_Interpolate1d($V$95,O157)</f>
        <v>2.7495288217709471E-16</v>
      </c>
      <c r="R157" s="11">
        <f ca="1">-_xll.QOpt_BlackDelta(1,H157,$F$97,0,I157,"P")</f>
        <v>9.0293138596889699E-3</v>
      </c>
      <c r="AL157" s="1"/>
      <c r="AR157" s="1"/>
    </row>
    <row r="158" spans="2:44" x14ac:dyDescent="0.25">
      <c r="B158" s="84">
        <f t="shared" si="24"/>
        <v>850</v>
      </c>
      <c r="C158" s="11">
        <f ca="1">_xll.QVol_GetVolForAbsoluteStrike($AH$3,B158,$L$70,$E$70)</f>
        <v>0.13607448555426388</v>
      </c>
      <c r="H158" s="84">
        <f t="shared" si="22"/>
        <v>38500</v>
      </c>
      <c r="I158" s="11">
        <f ca="1">_xll.QInterp_Interpolate1d($F$94,H158)</f>
        <v>4.9999999999999991</v>
      </c>
      <c r="N158" s="11">
        <f ca="1">_xll.QVol_GetVolForAbsoluteStrike($E$101,H158,$S$102,$F$97)</f>
        <v>5.0000000001223022</v>
      </c>
      <c r="O158" s="84">
        <f t="shared" ref="O158:O159" si="25">O157+2000</f>
        <v>40000</v>
      </c>
      <c r="P158" s="11">
        <f ca="1">_xll.QInterp_Interpolate1d($F$95,O158)</f>
        <v>3.2884984156602837E-16</v>
      </c>
      <c r="Q158" s="11">
        <f ca="1">_xll.QInterp_Interpolate1d($V$95,O158)</f>
        <v>2.7495288217701913E-16</v>
      </c>
      <c r="R158" s="11">
        <f ca="1">-_xll.QOpt_BlackDelta(1,H158,$F$97,0,I158,"P")</f>
        <v>9.1584159647470909E-3</v>
      </c>
      <c r="AL158" s="1"/>
      <c r="AR158" s="1"/>
    </row>
    <row r="159" spans="2:44" x14ac:dyDescent="0.25">
      <c r="B159" s="84">
        <f t="shared" si="24"/>
        <v>900</v>
      </c>
      <c r="C159" s="11">
        <f ca="1">_xll.QVol_GetVolForAbsoluteStrike($AH$3,B159,$L$70,$E$70)</f>
        <v>0.13595167697063082</v>
      </c>
      <c r="H159" s="84">
        <f>H158+1000</f>
        <v>39500</v>
      </c>
      <c r="I159" s="11">
        <f ca="1">_xll.QInterp_Interpolate1d($F$94,H159)</f>
        <v>5</v>
      </c>
      <c r="N159" s="11">
        <f ca="1">_xll.QVol_GetVolForAbsoluteStrike($E$101,H159,$S$102,$F$97)</f>
        <v>5.0000000001221929</v>
      </c>
      <c r="O159" s="84">
        <f t="shared" si="25"/>
        <v>42000</v>
      </c>
      <c r="P159" s="11">
        <f ca="1">_xll.QInterp_Interpolate1d($F$95,O159)</f>
        <v>3.2884984156592024E-16</v>
      </c>
      <c r="Q159" s="11">
        <f ca="1">_xll.QInterp_Interpolate1d($V$95,O159)</f>
        <v>2.7495288217694355E-16</v>
      </c>
      <c r="R159" s="11">
        <f ca="1">-_xll.QOpt_BlackDelta(1,H159,$F$97,0,I159,"P")</f>
        <v>9.285758828024071E-3</v>
      </c>
      <c r="AL159" s="1"/>
      <c r="AR159" s="1"/>
    </row>
    <row r="160" spans="2:44" x14ac:dyDescent="0.25">
      <c r="B160" s="84">
        <f t="shared" si="24"/>
        <v>950</v>
      </c>
      <c r="C160" s="11">
        <f ca="1">_xll.QVol_GetVolForAbsoluteStrike($AH$3,B160,$L$70,$E$70)</f>
        <v>0.13559176884077193</v>
      </c>
      <c r="AL160" s="1"/>
      <c r="AR160" s="1"/>
    </row>
    <row r="161" spans="2:44" x14ac:dyDescent="0.25">
      <c r="B161" s="84">
        <f t="shared" si="24"/>
        <v>1000</v>
      </c>
      <c r="C161" s="11">
        <f ca="1">_xll.QVol_GetVolForAbsoluteStrike($AH$3,B161,$L$70,$E$70)</f>
        <v>0.13474938783369234</v>
      </c>
      <c r="AL161" s="1"/>
      <c r="AR161" s="1"/>
    </row>
    <row r="162" spans="2:44" x14ac:dyDescent="0.25">
      <c r="B162" s="84">
        <f t="shared" si="24"/>
        <v>1050</v>
      </c>
      <c r="C162" s="11">
        <f ca="1">_xll.QVol_GetVolForAbsoluteStrike($AH$3,B162,$L$70,$E$70)</f>
        <v>0.13313330063218851</v>
      </c>
      <c r="AL162" s="1"/>
      <c r="AR162" s="1"/>
    </row>
    <row r="163" spans="2:44" x14ac:dyDescent="0.25">
      <c r="B163" s="84">
        <f t="shared" si="24"/>
        <v>1100</v>
      </c>
      <c r="C163" s="11">
        <f ca="1">_xll.QVol_GetVolForAbsoluteStrike($AH$3,B163,$L$70,$E$70)</f>
        <v>0.1305278661210682</v>
      </c>
      <c r="AL163" s="1"/>
      <c r="AR163" s="1"/>
    </row>
    <row r="164" spans="2:44" x14ac:dyDescent="0.25">
      <c r="B164" s="84">
        <f t="shared" si="24"/>
        <v>1150</v>
      </c>
      <c r="C164" s="11">
        <f ca="1">_xll.QVol_GetVolForAbsoluteStrike($AH$3,B164,$L$70,$E$70)</f>
        <v>0.12695739775761811</v>
      </c>
      <c r="AL164" s="1"/>
      <c r="AR164" s="1"/>
    </row>
    <row r="165" spans="2:44" x14ac:dyDescent="0.25">
      <c r="B165" s="84">
        <f t="shared" si="24"/>
        <v>1200</v>
      </c>
      <c r="C165" s="11">
        <f ca="1">_xll.QVol_GetVolForAbsoluteStrike($AH$3,B165,$L$70,$E$70)</f>
        <v>0.12293624100252867</v>
      </c>
      <c r="AL165" s="1"/>
      <c r="AR165" s="1"/>
    </row>
    <row r="166" spans="2:44" x14ac:dyDescent="0.25">
      <c r="B166" s="84">
        <f t="shared" si="24"/>
        <v>1250</v>
      </c>
      <c r="C166" s="11">
        <f ca="1">_xll.QVol_GetVolForAbsoluteStrike($AH$3,B166,$L$70,$E$70)</f>
        <v>0.11979121964505896</v>
      </c>
      <c r="AL166" s="1"/>
      <c r="AR166" s="1"/>
    </row>
    <row r="167" spans="2:44" x14ac:dyDescent="0.25">
      <c r="B167" s="84">
        <f t="shared" si="24"/>
        <v>1300</v>
      </c>
      <c r="C167" s="11">
        <f ca="1">_xll.QVol_GetVolForAbsoluteStrike($AH$3,B167,$L$70,$E$70)</f>
        <v>0.11924378857232769</v>
      </c>
      <c r="AL167" s="1"/>
      <c r="AR167" s="1"/>
    </row>
    <row r="168" spans="2:44" x14ac:dyDescent="0.25">
      <c r="B168" s="84">
        <f t="shared" si="24"/>
        <v>1350</v>
      </c>
      <c r="C168" s="11">
        <f ca="1">_xll.QVol_GetVolForAbsoluteStrike($AH$3,B168,$L$70,$E$70)</f>
        <v>0.12231804854393161</v>
      </c>
      <c r="AL168" s="1"/>
      <c r="AR168" s="1"/>
    </row>
    <row r="169" spans="2:44" x14ac:dyDescent="0.25">
      <c r="B169" s="84">
        <f t="shared" si="24"/>
        <v>1400</v>
      </c>
      <c r="C169" s="11">
        <f ca="1">_xll.QVol_GetVolForAbsoluteStrike($AH$3,B169,$L$70,$E$70)</f>
        <v>0.12930954057118016</v>
      </c>
      <c r="AL169" s="1"/>
      <c r="AR169" s="1"/>
    </row>
    <row r="170" spans="2:44" x14ac:dyDescent="0.25">
      <c r="B170" s="84">
        <f t="shared" si="24"/>
        <v>1450</v>
      </c>
      <c r="C170" s="11">
        <f ca="1">_xll.QVol_GetVolForAbsoluteStrike($AH$3,B170,$L$70,$E$70)</f>
        <v>0.13832019376899099</v>
      </c>
      <c r="AL170" s="1"/>
      <c r="AR170" s="1"/>
    </row>
    <row r="171" spans="2:44" x14ac:dyDescent="0.25">
      <c r="B171" s="84">
        <f t="shared" si="24"/>
        <v>1500</v>
      </c>
      <c r="C171" s="11">
        <f ca="1">_xll.QVol_GetVolForAbsoluteStrike($AH$3,B171,$L$70,$E$70)</f>
        <v>0.14727721222781945</v>
      </c>
      <c r="AL171" s="1"/>
    </row>
    <row r="172" spans="2:44" x14ac:dyDescent="0.25">
      <c r="B172" s="84">
        <f t="shared" si="24"/>
        <v>1550</v>
      </c>
      <c r="C172" s="11">
        <f ca="1">_xll.QVol_GetVolForAbsoluteStrike($AH$3,B172,$L$70,$E$70)</f>
        <v>0.15533156237566451</v>
      </c>
      <c r="AL172" s="1"/>
    </row>
    <row r="173" spans="2:44" x14ac:dyDescent="0.25">
      <c r="B173" s="84">
        <f t="shared" si="24"/>
        <v>1600</v>
      </c>
      <c r="C173" s="11">
        <f ca="1">_xll.QVol_GetVolForAbsoluteStrike($AH$3,B173,$L$70,$E$70)</f>
        <v>0.16229162710251321</v>
      </c>
      <c r="AL173" s="1"/>
    </row>
    <row r="174" spans="2:44" x14ac:dyDescent="0.25">
      <c r="B174" s="84">
        <f t="shared" si="24"/>
        <v>1650</v>
      </c>
      <c r="C174" s="11">
        <f ca="1">_xll.QVol_GetVolForAbsoluteStrike($AH$3,B174,$L$70,$E$70)</f>
        <v>0.16819268546763547</v>
      </c>
      <c r="AL174" s="1"/>
    </row>
    <row r="175" spans="2:44" x14ac:dyDescent="0.25">
      <c r="B175" s="84">
        <f t="shared" si="24"/>
        <v>1700</v>
      </c>
      <c r="C175" s="11">
        <f ca="1">_xll.QVol_GetVolForAbsoluteStrike($AH$3,B175,$L$70,$E$70)</f>
        <v>0.17313670495542871</v>
      </c>
      <c r="AL175" s="1"/>
    </row>
    <row r="176" spans="2:44" x14ac:dyDescent="0.25">
      <c r="B176" s="84">
        <f t="shared" si="24"/>
        <v>1750</v>
      </c>
      <c r="C176" s="11">
        <f ca="1">_xll.QVol_GetVolForAbsoluteStrike($AH$3,B176,$L$70,$E$70)</f>
        <v>0.17723896953683846</v>
      </c>
      <c r="AL176" s="1"/>
    </row>
    <row r="177" spans="2:38" x14ac:dyDescent="0.25">
      <c r="B177" s="84">
        <f t="shared" si="24"/>
        <v>1800</v>
      </c>
      <c r="C177" s="11">
        <f ca="1">_xll.QVol_GetVolForAbsoluteStrike($AH$3,B177,$L$70,$E$70)</f>
        <v>0.1806109649253165</v>
      </c>
      <c r="AL177" s="1"/>
    </row>
    <row r="178" spans="2:38" x14ac:dyDescent="0.25">
      <c r="B178" s="84">
        <f t="shared" si="24"/>
        <v>1850</v>
      </c>
      <c r="C178" s="11">
        <f ca="1">_xll.QVol_GetVolForAbsoluteStrike($AH$3,B178,$L$70,$E$70)</f>
        <v>0.18335549241147403</v>
      </c>
      <c r="AL178" s="1"/>
    </row>
    <row r="179" spans="2:38" x14ac:dyDescent="0.25">
      <c r="B179" s="84">
        <f t="shared" si="24"/>
        <v>1900</v>
      </c>
      <c r="C179" s="11">
        <f ca="1">_xll.QVol_GetVolForAbsoluteStrike($AH$3,B179,$L$70,$E$70)</f>
        <v>0.18556581292499344</v>
      </c>
      <c r="AL179" s="1"/>
    </row>
    <row r="180" spans="2:38" x14ac:dyDescent="0.25">
      <c r="B180" s="84">
        <f t="shared" si="24"/>
        <v>1950</v>
      </c>
      <c r="C180" s="11">
        <f ca="1">_xll.QVol_GetVolForAbsoluteStrike($AH$3,B180,$L$70,$E$70)</f>
        <v>0.18732593936009301</v>
      </c>
      <c r="AL180" s="1"/>
    </row>
    <row r="181" spans="2:38" x14ac:dyDescent="0.25">
      <c r="B181" s="84">
        <f t="shared" si="24"/>
        <v>2000</v>
      </c>
      <c r="C181" s="11">
        <f ca="1">_xll.QVol_GetVolForAbsoluteStrike($AH$3,B181,$L$70,$E$70)</f>
        <v>0.18871108309998896</v>
      </c>
      <c r="AL181" s="1"/>
    </row>
    <row r="182" spans="2:38" x14ac:dyDescent="0.25">
      <c r="B182" s="84">
        <f t="shared" si="24"/>
        <v>2050</v>
      </c>
      <c r="C182" s="11">
        <f ca="1">_xll.QVol_GetVolForAbsoluteStrike($AH$3,B182,$L$70,$E$70)</f>
        <v>0.18978797898605868</v>
      </c>
      <c r="AL182" s="1"/>
    </row>
    <row r="183" spans="2:38" x14ac:dyDescent="0.25">
      <c r="B183" s="84">
        <f t="shared" si="24"/>
        <v>2100</v>
      </c>
      <c r="C183" s="11">
        <f ca="1">_xll.QVol_GetVolForAbsoluteStrike($AH$3,B183,$L$70,$E$70)</f>
        <v>0.19061509665640419</v>
      </c>
      <c r="AL183" s="1"/>
    </row>
    <row r="184" spans="2:38" x14ac:dyDescent="0.25">
      <c r="B184" s="84">
        <f t="shared" si="24"/>
        <v>2150</v>
      </c>
      <c r="C184" s="11">
        <f ca="1">_xll.QVol_GetVolForAbsoluteStrike($AH$3,B184,$L$70,$E$70)</f>
        <v>0.19124284346787371</v>
      </c>
      <c r="AL184" s="1"/>
    </row>
    <row r="185" spans="2:38" x14ac:dyDescent="0.25">
      <c r="B185" s="84">
        <f t="shared" si="24"/>
        <v>2200</v>
      </c>
      <c r="C185" s="11">
        <f ca="1">_xll.QVol_GetVolForAbsoluteStrike($AH$3,B185,$L$70,$E$70)</f>
        <v>0.19171386823120726</v>
      </c>
      <c r="AL185" s="1"/>
    </row>
    <row r="186" spans="2:38" x14ac:dyDescent="0.25">
      <c r="B186" s="84">
        <f t="shared" si="24"/>
        <v>2250</v>
      </c>
      <c r="C186" s="11">
        <f ca="1">_xll.QVol_GetVolForAbsoluteStrike($AH$3,B186,$L$70,$E$70)</f>
        <v>0.19206353183942954</v>
      </c>
      <c r="AL186" s="1"/>
    </row>
    <row r="187" spans="2:38" x14ac:dyDescent="0.25">
      <c r="B187" s="84">
        <f t="shared" si="24"/>
        <v>2300</v>
      </c>
      <c r="C187" s="11">
        <f ca="1">_xll.QVol_GetVolForAbsoluteStrike($AH$3,B187,$L$70,$E$70)</f>
        <v>0.19232055356425629</v>
      </c>
      <c r="AL187" s="1"/>
    </row>
    <row r="188" spans="2:38" x14ac:dyDescent="0.25">
      <c r="B188" s="84">
        <f t="shared" si="24"/>
        <v>2350</v>
      </c>
      <c r="C188" s="11">
        <f ca="1">_xll.QVol_GetVolForAbsoluteStrike($AH$3,B188,$L$70,$E$70)</f>
        <v>0.19250779383091557</v>
      </c>
      <c r="AL188" s="1"/>
    </row>
    <row r="189" spans="2:38" x14ac:dyDescent="0.25">
      <c r="B189" s="84">
        <f t="shared" si="24"/>
        <v>2400</v>
      </c>
      <c r="C189" s="11">
        <f ca="1">_xll.QVol_GetVolForAbsoluteStrike($AH$3,B189,$L$70,$E$70)</f>
        <v>0.19264310810952159</v>
      </c>
      <c r="AL189" s="1"/>
    </row>
    <row r="190" spans="2:38" x14ac:dyDescent="0.25">
      <c r="B190" s="84">
        <f t="shared" si="24"/>
        <v>2450</v>
      </c>
      <c r="C190" s="11">
        <f ca="1">_xll.QVol_GetVolForAbsoluteStrike($AH$3,B190,$L$70,$E$70)</f>
        <v>0.19274020300777125</v>
      </c>
      <c r="AL190" s="1"/>
    </row>
    <row r="191" spans="2:38" x14ac:dyDescent="0.25">
      <c r="B191" s="84">
        <f t="shared" si="24"/>
        <v>2500</v>
      </c>
      <c r="C191" s="11">
        <f ca="1">_xll.QVol_GetVolForAbsoluteStrike($AH$3,B191,$L$70,$E$70)</f>
        <v>0.19280943812216983</v>
      </c>
      <c r="AL191" s="1"/>
    </row>
    <row r="192" spans="2:38" x14ac:dyDescent="0.25">
      <c r="B192" s="84">
        <f t="shared" si="24"/>
        <v>2550</v>
      </c>
      <c r="C192" s="11">
        <f ca="1">_xll.QVol_GetVolForAbsoluteStrike($AH$3,B192,$L$70,$E$70)</f>
        <v>0.19285853685726759</v>
      </c>
      <c r="AL192" s="1"/>
    </row>
    <row r="193" spans="2:38" x14ac:dyDescent="0.25">
      <c r="B193" s="84">
        <f t="shared" si="24"/>
        <v>2600</v>
      </c>
      <c r="C193" s="11">
        <f ca="1">_xll.QVol_GetVolForAbsoluteStrike($AH$3,B193,$L$70,$E$70)</f>
        <v>0.19289318892089757</v>
      </c>
      <c r="AL193" s="1"/>
    </row>
    <row r="194" spans="2:38" x14ac:dyDescent="0.25">
      <c r="B194" s="84">
        <f t="shared" si="24"/>
        <v>2650</v>
      </c>
      <c r="C194" s="11">
        <f ca="1">_xll.QVol_GetVolForAbsoluteStrike($AH$3,B194,$L$70,$E$70)</f>
        <v>0.19291754285349616</v>
      </c>
      <c r="AL194" s="1"/>
    </row>
    <row r="195" spans="2:38" x14ac:dyDescent="0.25">
      <c r="B195" s="84">
        <f t="shared" si="24"/>
        <v>2700</v>
      </c>
      <c r="C195" s="11">
        <f ca="1">_xll.QVol_GetVolForAbsoluteStrike($AH$3,B195,$L$70,$E$70)</f>
        <v>0.19293459670361807</v>
      </c>
      <c r="AL195" s="1"/>
    </row>
    <row r="196" spans="2:38" x14ac:dyDescent="0.25">
      <c r="B196" s="84">
        <f t="shared" si="24"/>
        <v>2750</v>
      </c>
      <c r="C196" s="11">
        <f ca="1">_xll.QVol_GetVolForAbsoluteStrike($AH$3,B196,$L$70,$E$70)</f>
        <v>0.19294650068484911</v>
      </c>
      <c r="AL196" s="1"/>
    </row>
    <row r="197" spans="2:38" x14ac:dyDescent="0.25">
      <c r="B197" s="84">
        <f t="shared" si="24"/>
        <v>2800</v>
      </c>
      <c r="C197" s="11">
        <f ca="1">_xll.QVol_GetVolForAbsoluteStrike($AH$3,B197,$L$70,$E$70)</f>
        <v>0.19295478687047882</v>
      </c>
      <c r="AL197" s="1"/>
    </row>
    <row r="198" spans="2:38" x14ac:dyDescent="0.25">
      <c r="B198" s="84">
        <f t="shared" si="24"/>
        <v>2850</v>
      </c>
      <c r="C198" s="11">
        <f ca="1">_xll.QVol_GetVolForAbsoluteStrike($AH$3,B198,$L$70,$E$70)</f>
        <v>0.19296054078552385</v>
      </c>
      <c r="AL198" s="1"/>
    </row>
    <row r="199" spans="2:38" x14ac:dyDescent="0.25">
      <c r="B199" s="84">
        <f t="shared" si="24"/>
        <v>2900</v>
      </c>
      <c r="C199" s="11">
        <f ca="1">_xll.QVol_GetVolForAbsoluteStrike($AH$3,B199,$L$70,$E$70)</f>
        <v>0.19296452784765217</v>
      </c>
      <c r="AL199" s="1"/>
    </row>
    <row r="200" spans="2:38" x14ac:dyDescent="0.25">
      <c r="B200" s="84">
        <f t="shared" si="24"/>
        <v>2950</v>
      </c>
      <c r="C200" s="11">
        <f ca="1">_xll.QVol_GetVolForAbsoluteStrike($AH$3,B200,$L$70,$E$70)</f>
        <v>0.19296728551135564</v>
      </c>
      <c r="AL200" s="1"/>
    </row>
    <row r="201" spans="2:38" x14ac:dyDescent="0.25">
      <c r="B201" s="84">
        <f t="shared" si="24"/>
        <v>3000</v>
      </c>
      <c r="C201" s="11">
        <f ca="1">_xll.QVol_GetVolForAbsoluteStrike($AH$3,B201,$L$70,$E$70)</f>
        <v>0.19296918980081418</v>
      </c>
      <c r="AL201" s="1"/>
    </row>
    <row r="202" spans="2:38" x14ac:dyDescent="0.25">
      <c r="B202" s="84">
        <f t="shared" si="24"/>
        <v>3050</v>
      </c>
      <c r="C202" s="11">
        <f ca="1">_xll.QVol_GetVolForAbsoluteStrike($AH$3,B202,$L$70,$E$70)</f>
        <v>0.19297050296954277</v>
      </c>
      <c r="AL202" s="1"/>
    </row>
    <row r="203" spans="2:38" x14ac:dyDescent="0.25">
      <c r="B203" s="84">
        <f t="shared" si="24"/>
        <v>3100</v>
      </c>
      <c r="C203" s="11">
        <f ca="1">_xll.QVol_GetVolForAbsoluteStrike($AH$3,B203,$L$70,$E$70)</f>
        <v>0.19297140742586155</v>
      </c>
      <c r="AL203" s="1"/>
    </row>
    <row r="204" spans="2:38" x14ac:dyDescent="0.25">
      <c r="B204" s="84">
        <f t="shared" si="24"/>
        <v>3150</v>
      </c>
      <c r="C204" s="11">
        <f ca="1">_xll.QVol_GetVolForAbsoluteStrike($AH$3,B204,$L$70,$E$70)</f>
        <v>0.19297202973811228</v>
      </c>
      <c r="AL204" s="1"/>
    </row>
    <row r="205" spans="2:38" x14ac:dyDescent="0.25">
      <c r="B205" s="84">
        <f t="shared" si="24"/>
        <v>3200</v>
      </c>
      <c r="C205" s="11">
        <f ca="1">_xll.QVol_GetVolForAbsoluteStrike($AH$3,B205,$L$70,$E$70)</f>
        <v>0.19297245754936573</v>
      </c>
      <c r="AL205" s="1"/>
    </row>
    <row r="206" spans="2:38" x14ac:dyDescent="0.25">
      <c r="B206" s="84">
        <f t="shared" si="24"/>
        <v>3250</v>
      </c>
      <c r="C206" s="11">
        <f ca="1">_xll.QVol_GetVolForAbsoluteStrike($AH$3,B206,$L$70,$E$70)</f>
        <v>0.19297275143293022</v>
      </c>
      <c r="AL206" s="1"/>
    </row>
    <row r="207" spans="2:38" x14ac:dyDescent="0.25">
      <c r="B207" s="84">
        <f t="shared" si="24"/>
        <v>3300</v>
      </c>
      <c r="C207" s="11">
        <f ca="1">_xll.QVol_GetVolForAbsoluteStrike($AH$3,B207,$L$70,$E$70)</f>
        <v>0.19297295319645147</v>
      </c>
      <c r="AL207" s="1"/>
    </row>
    <row r="208" spans="2:38" x14ac:dyDescent="0.25">
      <c r="B208" s="84">
        <f t="shared" si="24"/>
        <v>3350</v>
      </c>
      <c r="C208" s="11">
        <f ca="1">_xll.QVol_GetVolForAbsoluteStrike($AH$3,B208,$L$70,$E$70)</f>
        <v>0.19297309164867477</v>
      </c>
      <c r="AL208" s="1"/>
    </row>
    <row r="209" spans="2:38" x14ac:dyDescent="0.25">
      <c r="B209" s="84">
        <f t="shared" si="24"/>
        <v>3400</v>
      </c>
      <c r="C209" s="11">
        <f ca="1">_xll.QVol_GetVolForAbsoluteStrike($AH$3,B209,$L$70,$E$70)</f>
        <v>0.19297318662129573</v>
      </c>
      <c r="AL209" s="1"/>
    </row>
    <row r="210" spans="2:38" x14ac:dyDescent="0.25">
      <c r="B210" s="84">
        <f t="shared" si="24"/>
        <v>3450</v>
      </c>
      <c r="C210" s="11">
        <f ca="1">_xll.QVol_GetVolForAbsoluteStrike($AH$3,B210,$L$70,$E$70)</f>
        <v>0.19297325174998919</v>
      </c>
      <c r="AL210" s="1"/>
    </row>
    <row r="211" spans="2:38" x14ac:dyDescent="0.25">
      <c r="B211" s="84">
        <f t="shared" si="24"/>
        <v>3500</v>
      </c>
      <c r="C211" s="11">
        <f ca="1">_xll.QVol_GetVolForAbsoluteStrike($AH$3,B211,$L$70,$E$70)</f>
        <v>0.1929732964055221</v>
      </c>
      <c r="AL211" s="1"/>
    </row>
    <row r="212" spans="2:38" x14ac:dyDescent="0.25">
      <c r="B212" s="84">
        <f t="shared" si="24"/>
        <v>3550</v>
      </c>
      <c r="C212" s="11">
        <f ca="1">_xll.QVol_GetVolForAbsoluteStrike($AH$3,B212,$L$70,$E$70)</f>
        <v>0.19297332702211206</v>
      </c>
      <c r="AL212" s="1"/>
    </row>
    <row r="213" spans="2:38" x14ac:dyDescent="0.25">
      <c r="B213" s="84">
        <f t="shared" si="24"/>
        <v>3600</v>
      </c>
      <c r="C213" s="11">
        <f ca="1">_xll.QVol_GetVolForAbsoluteStrike($AH$3,B213,$L$70,$E$70)</f>
        <v>0.19297334786984735</v>
      </c>
      <c r="AL213" s="1"/>
    </row>
    <row r="214" spans="2:38" x14ac:dyDescent="0.25">
      <c r="B214" s="84">
        <f t="shared" si="24"/>
        <v>3650</v>
      </c>
      <c r="C214" s="11">
        <f ca="1">_xll.QVol_GetVolForAbsoluteStrike($AH$3,B214,$L$70,$E$70)</f>
        <v>0.19297336240109539</v>
      </c>
      <c r="AL214" s="1"/>
    </row>
    <row r="215" spans="2:38" x14ac:dyDescent="0.25">
      <c r="B215" s="84">
        <f t="shared" si="24"/>
        <v>3700</v>
      </c>
      <c r="C215" s="11">
        <f ca="1">_xll.QVol_GetVolForAbsoluteStrike($AH$3,B215,$L$70,$E$70)</f>
        <v>0.19297337226945985</v>
      </c>
      <c r="AL215" s="1"/>
    </row>
    <row r="216" spans="2:38" x14ac:dyDescent="0.25">
      <c r="B216" s="84">
        <f t="shared" si="24"/>
        <v>3750</v>
      </c>
      <c r="C216" s="11">
        <f ca="1">_xll.QVol_GetVolForAbsoluteStrike($AH$3,B216,$L$70,$E$70)</f>
        <v>0.19297337872793546</v>
      </c>
      <c r="AL216" s="1"/>
    </row>
    <row r="217" spans="2:38" x14ac:dyDescent="0.25">
      <c r="B217" s="84">
        <f t="shared" si="24"/>
        <v>3800</v>
      </c>
      <c r="C217" s="11">
        <f ca="1">_xll.QVol_GetVolForAbsoluteStrike($AH$3,B217,$L$70,$E$70)</f>
        <v>0.19297338363014357</v>
      </c>
      <c r="AL217" s="1"/>
    </row>
    <row r="218" spans="2:38" x14ac:dyDescent="0.25">
      <c r="B218" s="84">
        <f t="shared" ref="B218:B231" si="26">B217+50</f>
        <v>3850</v>
      </c>
      <c r="C218" s="11">
        <f ca="1">_xll.QVol_GetVolForAbsoluteStrike($AH$3,B218,$L$70,$E$70)</f>
        <v>0.19297338660932023</v>
      </c>
      <c r="AL218" s="1"/>
    </row>
    <row r="219" spans="2:38" x14ac:dyDescent="0.25">
      <c r="B219" s="84">
        <f t="shared" si="26"/>
        <v>3900</v>
      </c>
      <c r="C219" s="11">
        <f ca="1">_xll.QVol_GetVolForAbsoluteStrike($AH$3,B219,$L$70,$E$70)</f>
        <v>0.19297338888368176</v>
      </c>
      <c r="AL219" s="1"/>
    </row>
    <row r="220" spans="2:38" x14ac:dyDescent="0.25">
      <c r="B220" s="84">
        <f t="shared" si="26"/>
        <v>3950</v>
      </c>
      <c r="C220" s="11">
        <f ca="1">_xll.QVol_GetVolForAbsoluteStrike($AH$3,B220,$L$70,$E$70)</f>
        <v>0.19297339049664836</v>
      </c>
      <c r="AL220" s="1"/>
    </row>
    <row r="221" spans="2:38" x14ac:dyDescent="0.25">
      <c r="B221" s="84">
        <f t="shared" si="26"/>
        <v>4000</v>
      </c>
      <c r="C221" s="11">
        <f ca="1">_xll.QVol_GetVolForAbsoluteStrike($AH$3,B221,$L$70,$E$70)</f>
        <v>0.19297339133248256</v>
      </c>
      <c r="AL221" s="1"/>
    </row>
    <row r="222" spans="2:38" x14ac:dyDescent="0.25">
      <c r="B222" s="84">
        <f t="shared" si="26"/>
        <v>4050</v>
      </c>
      <c r="C222" s="11">
        <f ca="1">_xll.QVol_GetVolForAbsoluteStrike($AH$3,B222,$L$70,$E$70)</f>
        <v>0.19297339184951931</v>
      </c>
      <c r="AL222" s="1"/>
    </row>
    <row r="223" spans="2:38" x14ac:dyDescent="0.25">
      <c r="B223" s="84">
        <f t="shared" si="26"/>
        <v>4100</v>
      </c>
      <c r="C223" s="11">
        <f ca="1">_xll.QVol_GetVolForAbsoluteStrike($AH$3,B223,$L$70,$E$70)</f>
        <v>0.19297339147771134</v>
      </c>
      <c r="AL223" s="1"/>
    </row>
    <row r="224" spans="2:38" x14ac:dyDescent="0.25">
      <c r="B224" s="84">
        <f t="shared" si="26"/>
        <v>4150</v>
      </c>
      <c r="C224" s="11">
        <f ca="1">_xll.QVol_GetVolForAbsoluteStrike($AH$3,B224,$L$70,$E$70)</f>
        <v>0.19297339243221351</v>
      </c>
      <c r="AL224" s="1"/>
    </row>
    <row r="225" spans="2:38" x14ac:dyDescent="0.25">
      <c r="B225" s="84">
        <f t="shared" si="26"/>
        <v>4200</v>
      </c>
      <c r="C225" s="11">
        <f ca="1">_xll.QVol_GetVolForAbsoluteStrike($AH$3,B225,$L$70,$E$70)</f>
        <v>0.19297339363564192</v>
      </c>
      <c r="AL225" s="1"/>
    </row>
    <row r="226" spans="2:38" x14ac:dyDescent="0.25">
      <c r="B226" s="84">
        <f t="shared" si="26"/>
        <v>4250</v>
      </c>
      <c r="C226" s="11">
        <f ca="1">_xll.QVol_GetVolForAbsoluteStrike($AH$3,B226,$L$70,$E$70)</f>
        <v>0.19297339363564192</v>
      </c>
      <c r="AL226" s="1"/>
    </row>
    <row r="227" spans="2:38" x14ac:dyDescent="0.25">
      <c r="B227" s="84">
        <f t="shared" si="26"/>
        <v>4300</v>
      </c>
      <c r="C227" s="11">
        <f ca="1">_xll.QVol_GetVolForAbsoluteStrike($AH$3,B227,$L$70,$E$70)</f>
        <v>0.19297339363564192</v>
      </c>
      <c r="AL227" s="1"/>
    </row>
    <row r="228" spans="2:38" x14ac:dyDescent="0.25">
      <c r="B228" s="84">
        <f t="shared" si="26"/>
        <v>4350</v>
      </c>
      <c r="C228" s="11">
        <f ca="1">_xll.QVol_GetVolForAbsoluteStrike($AH$3,B228,$L$70,$E$70)</f>
        <v>0.19297339363564192</v>
      </c>
      <c r="AL228" s="1"/>
    </row>
    <row r="229" spans="2:38" x14ac:dyDescent="0.25">
      <c r="B229" s="84">
        <f t="shared" si="26"/>
        <v>4400</v>
      </c>
      <c r="C229" s="11">
        <f ca="1">_xll.QVol_GetVolForAbsoluteStrike($AH$3,B229,$L$70,$E$70)</f>
        <v>0.19297339363564192</v>
      </c>
      <c r="AL229" s="1"/>
    </row>
    <row r="230" spans="2:38" x14ac:dyDescent="0.25">
      <c r="B230" s="84">
        <f t="shared" si="26"/>
        <v>4450</v>
      </c>
      <c r="C230" s="11">
        <f ca="1">_xll.QVol_GetVolForAbsoluteStrike($AH$3,B230,$L$70,$E$70)</f>
        <v>0.19297339363564192</v>
      </c>
      <c r="AL230" s="1"/>
    </row>
    <row r="231" spans="2:38" x14ac:dyDescent="0.25">
      <c r="B231" s="84">
        <f t="shared" si="26"/>
        <v>4500</v>
      </c>
      <c r="C231" s="11">
        <f ca="1">_xll.QVol_GetVolForAbsoluteStrike($AH$3,B231,$L$70,$E$70)</f>
        <v>0.19297339363564192</v>
      </c>
      <c r="AL231" s="1"/>
    </row>
    <row r="232" spans="2:38" x14ac:dyDescent="0.25">
      <c r="AL232" s="1"/>
    </row>
    <row r="233" spans="2:38" x14ac:dyDescent="0.25">
      <c r="AL233" s="1"/>
    </row>
    <row r="234" spans="2:38" x14ac:dyDescent="0.25">
      <c r="AL234" s="1"/>
    </row>
    <row r="235" spans="2:38" x14ac:dyDescent="0.25">
      <c r="AL235" s="1"/>
    </row>
    <row r="236" spans="2:38" x14ac:dyDescent="0.25">
      <c r="AL236" s="1"/>
    </row>
    <row r="237" spans="2:38" x14ac:dyDescent="0.25">
      <c r="AL237" s="1"/>
    </row>
    <row r="238" spans="2:38" x14ac:dyDescent="0.25">
      <c r="AL238" s="1"/>
    </row>
    <row r="239" spans="2:38" x14ac:dyDescent="0.25">
      <c r="AL239" s="1"/>
    </row>
    <row r="240" spans="2:38" x14ac:dyDescent="0.25">
      <c r="AL240" s="1"/>
    </row>
    <row r="241" spans="38:38" x14ac:dyDescent="0.25">
      <c r="AL241" s="1"/>
    </row>
    <row r="242" spans="38:38" x14ac:dyDescent="0.25">
      <c r="AL242" s="1"/>
    </row>
    <row r="243" spans="38:38" x14ac:dyDescent="0.25">
      <c r="AL243" s="1"/>
    </row>
    <row r="244" spans="38:38" x14ac:dyDescent="0.25">
      <c r="AL244" s="1"/>
    </row>
    <row r="245" spans="38:38" x14ac:dyDescent="0.25">
      <c r="AL245" s="1"/>
    </row>
    <row r="246" spans="38:38" x14ac:dyDescent="0.25">
      <c r="AL246" s="1"/>
    </row>
    <row r="247" spans="38:38" x14ac:dyDescent="0.25">
      <c r="AL247" s="1"/>
    </row>
    <row r="248" spans="38:38" x14ac:dyDescent="0.25">
      <c r="AL248" s="1"/>
    </row>
    <row r="249" spans="38:38" x14ac:dyDescent="0.25">
      <c r="AL249" s="1"/>
    </row>
    <row r="250" spans="38:38" x14ac:dyDescent="0.25">
      <c r="AL250" s="1"/>
    </row>
    <row r="251" spans="38:38" x14ac:dyDescent="0.25">
      <c r="AL251" s="1"/>
    </row>
    <row r="252" spans="38:38" x14ac:dyDescent="0.25">
      <c r="AL252" s="1"/>
    </row>
    <row r="253" spans="38:38" x14ac:dyDescent="0.25">
      <c r="AL253" s="1"/>
    </row>
    <row r="254" spans="38:38" x14ac:dyDescent="0.25">
      <c r="AL254" s="1"/>
    </row>
    <row r="255" spans="38:38" x14ac:dyDescent="0.25">
      <c r="AL255" s="1"/>
    </row>
    <row r="256" spans="38:38" x14ac:dyDescent="0.25">
      <c r="AL256" s="1"/>
    </row>
    <row r="257" spans="38:38" x14ac:dyDescent="0.25">
      <c r="AL257" s="1"/>
    </row>
    <row r="258" spans="38:38" x14ac:dyDescent="0.25">
      <c r="AL258" s="1"/>
    </row>
    <row r="259" spans="38:38" x14ac:dyDescent="0.25">
      <c r="AL259" s="1"/>
    </row>
    <row r="260" spans="38:38" x14ac:dyDescent="0.25">
      <c r="AL260" s="1"/>
    </row>
    <row r="261" spans="38:38" x14ac:dyDescent="0.25">
      <c r="AL261" s="1"/>
    </row>
    <row r="262" spans="38:38" x14ac:dyDescent="0.25">
      <c r="AL262" s="1"/>
    </row>
    <row r="263" spans="38:38" x14ac:dyDescent="0.25">
      <c r="AL263" s="1"/>
    </row>
    <row r="264" spans="38:38" x14ac:dyDescent="0.25">
      <c r="AL264" s="1"/>
    </row>
    <row r="265" spans="38:38" x14ac:dyDescent="0.25">
      <c r="AL265" s="1"/>
    </row>
    <row r="266" spans="38:38" x14ac:dyDescent="0.25">
      <c r="AL266" s="1"/>
    </row>
    <row r="267" spans="38:38" x14ac:dyDescent="0.25">
      <c r="AL267" s="1"/>
    </row>
    <row r="268" spans="38:38" x14ac:dyDescent="0.25">
      <c r="AL268" s="1"/>
    </row>
    <row r="269" spans="38:38" x14ac:dyDescent="0.25">
      <c r="AL269" s="1"/>
    </row>
    <row r="270" spans="38:38" x14ac:dyDescent="0.25">
      <c r="AL270" s="1"/>
    </row>
    <row r="271" spans="38:38" x14ac:dyDescent="0.25">
      <c r="AL271" s="1"/>
    </row>
    <row r="272" spans="38:38" x14ac:dyDescent="0.25">
      <c r="AL272" s="1"/>
    </row>
    <row r="273" spans="38:38" x14ac:dyDescent="0.25">
      <c r="AL273" s="1"/>
    </row>
    <row r="274" spans="38:38" x14ac:dyDescent="0.25">
      <c r="AL274" s="1"/>
    </row>
    <row r="275" spans="38:38" x14ac:dyDescent="0.25">
      <c r="AL275" s="1"/>
    </row>
    <row r="276" spans="38:38" x14ac:dyDescent="0.25">
      <c r="AL276" s="1"/>
    </row>
    <row r="277" spans="38:38" x14ac:dyDescent="0.25">
      <c r="AL277" s="1"/>
    </row>
    <row r="278" spans="38:38" x14ac:dyDescent="0.25">
      <c r="AL278" s="1"/>
    </row>
    <row r="279" spans="38:38" x14ac:dyDescent="0.25">
      <c r="AL279" s="1"/>
    </row>
    <row r="280" spans="38:38" x14ac:dyDescent="0.25">
      <c r="AL280" s="1"/>
    </row>
    <row r="281" spans="38:38" x14ac:dyDescent="0.25">
      <c r="AL281" s="1"/>
    </row>
    <row r="282" spans="38:38" x14ac:dyDescent="0.25">
      <c r="AL282" s="1"/>
    </row>
    <row r="283" spans="38:38" x14ac:dyDescent="0.25">
      <c r="AL283" s="1"/>
    </row>
    <row r="284" spans="38:38" x14ac:dyDescent="0.25">
      <c r="AL284" s="1"/>
    </row>
    <row r="285" spans="38:38" x14ac:dyDescent="0.25">
      <c r="AL285" s="1"/>
    </row>
    <row r="286" spans="38:38" x14ac:dyDescent="0.25">
      <c r="AL286" s="1"/>
    </row>
    <row r="287" spans="38:38" x14ac:dyDescent="0.25">
      <c r="AL287" s="1"/>
    </row>
    <row r="288" spans="38:38" x14ac:dyDescent="0.25">
      <c r="AL288" s="1"/>
    </row>
    <row r="289" spans="38:38" x14ac:dyDescent="0.25">
      <c r="AL289" s="1"/>
    </row>
    <row r="290" spans="38:38" x14ac:dyDescent="0.25">
      <c r="AL290" s="1"/>
    </row>
    <row r="291" spans="38:38" x14ac:dyDescent="0.25">
      <c r="AL291" s="1"/>
    </row>
  </sheetData>
  <mergeCells count="10">
    <mergeCell ref="Q1:T1"/>
    <mergeCell ref="Y2:AJ2"/>
    <mergeCell ref="Y4:AC4"/>
    <mergeCell ref="AD4:AH4"/>
    <mergeCell ref="H62:I62"/>
    <mergeCell ref="J62:K62"/>
    <mergeCell ref="E4:N4"/>
    <mergeCell ref="Q4:T4"/>
    <mergeCell ref="P62:Q62"/>
    <mergeCell ref="R62:S6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E585-CC13-44DF-BF99-772606FF6B9A}">
  <sheetPr codeName="Sheet3"/>
  <dimension ref="A1:Z82"/>
  <sheetViews>
    <sheetView workbookViewId="0">
      <selection activeCell="J2" sqref="J2"/>
    </sheetView>
  </sheetViews>
  <sheetFormatPr defaultRowHeight="15" outlineLevelCol="1" x14ac:dyDescent="0.25"/>
  <cols>
    <col min="3" max="3" width="10.5703125" customWidth="1"/>
    <col min="4" max="4" width="10.140625" bestFit="1" customWidth="1"/>
    <col min="6" max="6" width="12.28515625" customWidth="1"/>
    <col min="7" max="7" width="9.140625" bestFit="1" customWidth="1"/>
    <col min="8" max="8" width="15" bestFit="1" customWidth="1"/>
    <col min="9" max="9" width="10.140625" bestFit="1" customWidth="1"/>
    <col min="10" max="10" width="13.7109375" bestFit="1" customWidth="1"/>
    <col min="11" max="11" width="9.140625" hidden="1" customWidth="1" outlineLevel="1"/>
    <col min="12" max="12" width="10.5703125" style="52" bestFit="1" customWidth="1" collapsed="1"/>
    <col min="13" max="13" width="10.7109375" bestFit="1" customWidth="1"/>
    <col min="14" max="14" width="13.140625" style="84" customWidth="1"/>
    <col min="15" max="15" width="11.42578125" hidden="1" customWidth="1" outlineLevel="1"/>
    <col min="16" max="16" width="15.28515625" style="52" customWidth="1" collapsed="1"/>
    <col min="17" max="17" width="10.5703125" hidden="1" customWidth="1" outlineLevel="1"/>
    <col min="18" max="18" width="14" hidden="1" customWidth="1" outlineLevel="1"/>
    <col min="19" max="19" width="9.140625" style="53" collapsed="1"/>
    <col min="20" max="21" width="9.140625" style="52" hidden="1" customWidth="1" outlineLevel="1"/>
    <col min="22" max="22" width="11.28515625" style="53" customWidth="1" collapsed="1"/>
    <col min="25" max="25" width="10.42578125" bestFit="1" customWidth="1"/>
    <col min="27" max="27" width="11.42578125" bestFit="1" customWidth="1"/>
  </cols>
  <sheetData>
    <row r="1" spans="1:22" s="50" customFormat="1" x14ac:dyDescent="0.25">
      <c r="A1" s="49" t="s">
        <v>44</v>
      </c>
      <c r="B1" s="49" t="s">
        <v>69</v>
      </c>
      <c r="C1" s="49" t="s">
        <v>61</v>
      </c>
      <c r="D1" s="49" t="s">
        <v>62</v>
      </c>
      <c r="E1" s="49" t="s">
        <v>70</v>
      </c>
      <c r="F1" s="49" t="s">
        <v>74</v>
      </c>
      <c r="G1" s="49" t="s">
        <v>78</v>
      </c>
      <c r="H1" s="49" t="s">
        <v>75</v>
      </c>
      <c r="I1" s="49" t="s">
        <v>65</v>
      </c>
      <c r="J1" s="49" t="s">
        <v>77</v>
      </c>
      <c r="K1" s="49" t="s">
        <v>68</v>
      </c>
      <c r="L1" s="49" t="s">
        <v>63</v>
      </c>
      <c r="M1" s="49" t="s">
        <v>42</v>
      </c>
      <c r="N1" s="91" t="s">
        <v>64</v>
      </c>
      <c r="O1" s="49" t="s">
        <v>68</v>
      </c>
      <c r="P1" s="49" t="s">
        <v>45</v>
      </c>
      <c r="Q1" s="49" t="s">
        <v>68</v>
      </c>
      <c r="R1" s="49" t="s">
        <v>68</v>
      </c>
      <c r="S1" s="54" t="s">
        <v>46</v>
      </c>
      <c r="T1" s="49" t="s">
        <v>68</v>
      </c>
      <c r="U1" s="49" t="s">
        <v>68</v>
      </c>
      <c r="V1" s="54" t="s">
        <v>52</v>
      </c>
    </row>
    <row r="2" spans="1:22" s="57" customFormat="1" x14ac:dyDescent="0.25">
      <c r="A2" s="57" t="s">
        <v>3</v>
      </c>
      <c r="B2" s="57" t="s">
        <v>25</v>
      </c>
      <c r="C2" s="48">
        <v>43497</v>
      </c>
      <c r="D2" s="57" t="s">
        <v>67</v>
      </c>
      <c r="E2" s="57" t="s">
        <v>71</v>
      </c>
      <c r="F2" s="57" t="str">
        <f t="shared" ref="F2" si="0">"LON"&amp;IF(B2&lt;&gt;"USD","+"&amp;B2,"")</f>
        <v>LON+ZAR</v>
      </c>
      <c r="G2" s="57" t="s">
        <v>76</v>
      </c>
      <c r="H2" s="57" t="str">
        <f t="shared" ref="H2" si="1">"LON+NYC"&amp;IF(B2&lt;&gt;"USD","+"&amp;B2,"")</f>
        <v>LON+NYC+ZAR</v>
      </c>
      <c r="I2" s="57" t="s">
        <v>76</v>
      </c>
      <c r="J2" s="57" t="str">
        <f>VLOOKUP(B2,FundingFx!$D$18:$E$19,2,FALSE)</f>
        <v>ZAR.DISC.[USD.LIBOR.3M]</v>
      </c>
      <c r="K2" s="57" t="str">
        <f>IF(D2="Monthly",_xll.QIns_CreateMonthlyAsianSwap("Mswp0_"&amp;ROW(),C2,A2,B2,0,1,F2,H2,I2,"2b",,J2),_xll.QIns_CreateAsianSwap("Tswp0_"&amp;ROW(),C2,A2,B2,0,1,F2,H2,I2,"2b",,J2))</f>
        <v>Tswp0_2¬0</v>
      </c>
      <c r="L2" s="51">
        <f ca="1">_xll.QIns_ProductParRate(K2,MetalCurves!$AM$21)</f>
        <v>25781.230813162976</v>
      </c>
      <c r="M2" s="14">
        <f ca="1">L2</f>
        <v>25781.230813162976</v>
      </c>
      <c r="N2" s="92">
        <v>224</v>
      </c>
      <c r="O2" s="57" t="str">
        <f ca="1">IF(D2="Monthly",_xll.QIns_CreateMonthlyAsianSwap("Mswp_"&amp;ROW(),C2,A2,B2,M2,N2,F2,H2,I2,"2b",,J2),_xll.QIns_CreateAsianSwap("Tswp_"&amp;ROW(),C2,A2,B2,M2,N2,F2,H2,I2,"2b",,J2))</f>
        <v>Tswp_2¬1</v>
      </c>
      <c r="P2" s="51">
        <f ca="1">_xll.QIns_ProductPV(O2,MetalCurves!$AM$21)</f>
        <v>0</v>
      </c>
      <c r="Q2" s="57" t="str">
        <f ca="1">_xll.QRisk_PortfolioDelta("delta_"&amp;ROW(),O2,MetalCurves!$AM$21)</f>
        <v>delta_2¬1</v>
      </c>
      <c r="R2" s="57" t="str">
        <f ca="1">_xll.QCube_AggregateCube("deltaAgg_"&amp;ROW(),Q2,"AssetId","Sum")</f>
        <v>deltaAgg_2¬1</v>
      </c>
      <c r="S2" s="53">
        <f ca="1">_xll.QCube_DisplayCubeValueForRow(R2,0)</f>
        <v>223.41175871230101</v>
      </c>
      <c r="T2" s="57" t="str">
        <f ca="1">_xll.QRisk_PortfolioFxDelta("fxdelta_"&amp;ROW(),O2,MetalCurves!$AM$21,"ZAR")</f>
        <v>fxdelta_2¬3</v>
      </c>
      <c r="U2" s="57" t="str">
        <f ca="1">_xll.QCube_AggregateCube("fxdeltaAgg_"&amp;ROW(),T2,"AssetId","Sum")</f>
        <v>fxdeltaAgg_2¬3</v>
      </c>
      <c r="V2" s="53">
        <f ca="1">_xll.QCube_DisplayCubeValueForRow(U2,0)</f>
        <v>417319.31203213811</v>
      </c>
    </row>
    <row r="3" spans="1:22" x14ac:dyDescent="0.25">
      <c r="A3" t="s">
        <v>3</v>
      </c>
      <c r="B3" s="57" t="s">
        <v>25</v>
      </c>
      <c r="C3" s="48">
        <v>43525</v>
      </c>
      <c r="D3" t="s">
        <v>67</v>
      </c>
      <c r="E3" t="s">
        <v>71</v>
      </c>
      <c r="F3" t="str">
        <f t="shared" ref="F3" si="2">"LON"&amp;IF(B3&lt;&gt;"USD","+"&amp;B3,"")</f>
        <v>LON+ZAR</v>
      </c>
      <c r="G3" s="57" t="s">
        <v>76</v>
      </c>
      <c r="H3" t="str">
        <f t="shared" ref="H3" si="3">"LON+NYC"&amp;IF(B3&lt;&gt;"USD","+"&amp;B3,"")</f>
        <v>LON+NYC+ZAR</v>
      </c>
      <c r="I3" t="s">
        <v>76</v>
      </c>
      <c r="J3" s="57" t="str">
        <f>VLOOKUP(B3,FundingFx!$D$18:$E$19,2,FALSE)</f>
        <v>ZAR.DISC.[USD.LIBOR.3M]</v>
      </c>
      <c r="K3" t="str">
        <f>IF(D3="Monthly",_xll.QIns_CreateMonthlyAsianSwap("Mswp0_"&amp;ROW(),C3,A3,B3,0,1,F3,H3,I3,"2b",,J3),_xll.QIns_CreateAsianSwap("Tswp0_"&amp;ROW(),C3,A3,B3,0,1,F3,H3,I3,"2b",,J3))</f>
        <v>Tswp0_3¬0</v>
      </c>
      <c r="L3" s="51">
        <f ca="1">_xll.QIns_ProductParRate(K3,MetalCurves!$AM$21)</f>
        <v>25973.58528698692</v>
      </c>
      <c r="M3" s="14">
        <f t="shared" ref="M3:M23" ca="1" si="4">L3</f>
        <v>25973.58528698692</v>
      </c>
      <c r="N3" s="92">
        <v>272</v>
      </c>
      <c r="O3" t="str">
        <f ca="1">IF(D3="Monthly",_xll.QIns_CreateMonthlyAsianSwap("Mswp_"&amp;ROW(),C3,A3,B3,M3,N3,F3,H3,I3,"2b",,J3),_xll.QIns_CreateAsianSwap("Tswp_"&amp;ROW(),C3,A3,B3,M3,N3,F3,H3,I3,"2b",,J3))</f>
        <v>Tswp_3¬1</v>
      </c>
      <c r="P3" s="51">
        <f ca="1">_xll.QIns_ProductPV(O3,MetalCurves!$AM$21)</f>
        <v>0</v>
      </c>
      <c r="Q3" t="str">
        <f ca="1">_xll.QRisk_PortfolioDelta("delta_"&amp;ROW(),O3,MetalCurves!$AM$21)</f>
        <v>delta_3¬1</v>
      </c>
      <c r="R3" t="str">
        <f ca="1">_xll.QCube_AggregateCube("deltaAgg_"&amp;ROW(),Q3,"AssetId","Sum")</f>
        <v>deltaAgg_3¬1</v>
      </c>
      <c r="S3" s="53">
        <f ca="1">_xll.QCube_DisplayCubeValueForRow(R3,0)</f>
        <v>271.21398678705793</v>
      </c>
      <c r="T3" t="str">
        <f ca="1">_xll.QRisk_PortfolioFxDelta("fxdelta_"&amp;ROW(),O3,MetalCurves!$AM$21,"ZAR")</f>
        <v>fxdelta_3¬3</v>
      </c>
      <c r="U3" t="str">
        <f ca="1">_xll.QCube_AggregateCube("fxdeltaAgg_"&amp;ROW(),T3,"AssetId","Sum")</f>
        <v>fxdeltaAgg_3¬3</v>
      </c>
      <c r="V3" s="53">
        <f ca="1">_xll.QCube_DisplayCubeValueForRow(U3,0)</f>
        <v>507533.40408020606</v>
      </c>
    </row>
    <row r="4" spans="1:22" s="57" customFormat="1" x14ac:dyDescent="0.25">
      <c r="A4" s="57" t="s">
        <v>3</v>
      </c>
      <c r="B4" s="57" t="s">
        <v>25</v>
      </c>
      <c r="C4" s="48">
        <v>43556</v>
      </c>
      <c r="D4" s="57" t="s">
        <v>67</v>
      </c>
      <c r="E4" s="57" t="s">
        <v>71</v>
      </c>
      <c r="F4" s="57" t="str">
        <f t="shared" ref="F4:F7" si="5">"LON"&amp;IF(B4&lt;&gt;"USD","+"&amp;B4,"")</f>
        <v>LON+ZAR</v>
      </c>
      <c r="G4" s="57" t="s">
        <v>76</v>
      </c>
      <c r="H4" s="57" t="str">
        <f t="shared" ref="H4:H7" si="6">"LON+NYC"&amp;IF(B4&lt;&gt;"USD","+"&amp;B4,"")</f>
        <v>LON+NYC+ZAR</v>
      </c>
      <c r="I4" s="57" t="s">
        <v>76</v>
      </c>
      <c r="J4" s="57" t="str">
        <f>VLOOKUP(B4,FundingFx!$D$18:$E$19,2,FALSE)</f>
        <v>ZAR.DISC.[USD.LIBOR.3M]</v>
      </c>
      <c r="K4" s="57" t="str">
        <f>IF(D4="Monthly",_xll.QIns_CreateMonthlyAsianSwap("Mswp0_"&amp;ROW(),C4,A4,B4,0,1,F4,H4,I4,"2b",,J4),_xll.QIns_CreateAsianSwap("Tswp0_"&amp;ROW(),C4,A4,B4,0,1,F4,H4,I4,"2b",,J4))</f>
        <v>Tswp0_4¬0</v>
      </c>
      <c r="L4" s="51">
        <f ca="1">_xll.QIns_ProductParRate(K4,MetalCurves!$AM$21)</f>
        <v>26064.19339615637</v>
      </c>
      <c r="M4" s="14">
        <f t="shared" ca="1" si="4"/>
        <v>26064.19339615637</v>
      </c>
      <c r="N4" s="92">
        <v>282</v>
      </c>
      <c r="O4" s="57" t="str">
        <f ca="1">IF(D4="Monthly",_xll.QIns_CreateMonthlyAsianSwap("Mswp_"&amp;ROW(),C4,A4,B4,M4,N4,F4,H4,I4,"2b",,J4),_xll.QIns_CreateAsianSwap("Tswp_"&amp;ROW(),C4,A4,B4,M4,N4,F4,H4,I4,"2b",,J4))</f>
        <v>Tswp_4¬1</v>
      </c>
      <c r="P4" s="51">
        <f ca="1">_xll.QIns_ProductPV(O4,MetalCurves!$AM$21)</f>
        <v>1.0107799043806191E-9</v>
      </c>
      <c r="Q4" s="57" t="str">
        <f ca="1">_xll.QRisk_PortfolioDelta("delta_"&amp;ROW(),O4,MetalCurves!$AM$21)</f>
        <v>delta_4¬1</v>
      </c>
      <c r="R4" s="57" t="str">
        <f ca="1">_xll.QCube_AggregateCube("deltaAgg_"&amp;ROW(),Q4,"AssetId","Sum")</f>
        <v>deltaAgg_4¬1</v>
      </c>
      <c r="S4" s="53">
        <f ca="1">_xll.QCube_DisplayCubeValueForRow(R4,0)</f>
        <v>281.21083430917099</v>
      </c>
      <c r="T4" s="57" t="str">
        <f ca="1">_xll.QRisk_PortfolioFxDelta("fxdelta_"&amp;ROW(),O4,MetalCurves!$AM$21,"ZAR")</f>
        <v>fxdelta_4¬3</v>
      </c>
      <c r="U4" s="57" t="str">
        <f ca="1">_xll.QCube_AggregateCube("fxdeltaAgg_"&amp;ROW(),T4,"AssetId","Sum")</f>
        <v>fxdeltaAgg_4¬3</v>
      </c>
      <c r="V4" s="53">
        <f ca="1">_xll.QCube_DisplayCubeValueForRow(U4,0)</f>
        <v>524947.49863788532</v>
      </c>
    </row>
    <row r="5" spans="1:22" s="57" customFormat="1" x14ac:dyDescent="0.25">
      <c r="A5" s="57" t="s">
        <v>3</v>
      </c>
      <c r="B5" s="57" t="s">
        <v>25</v>
      </c>
      <c r="C5" s="48">
        <v>43586</v>
      </c>
      <c r="D5" s="57" t="s">
        <v>67</v>
      </c>
      <c r="E5" s="57" t="s">
        <v>71</v>
      </c>
      <c r="F5" s="57" t="str">
        <f t="shared" si="5"/>
        <v>LON+ZAR</v>
      </c>
      <c r="G5" s="57" t="s">
        <v>76</v>
      </c>
      <c r="H5" s="57" t="str">
        <f t="shared" si="6"/>
        <v>LON+NYC+ZAR</v>
      </c>
      <c r="I5" s="57" t="s">
        <v>76</v>
      </c>
      <c r="J5" s="57" t="str">
        <f>VLOOKUP(B5,FundingFx!$D$18:$E$19,2,FALSE)</f>
        <v>ZAR.DISC.[USD.LIBOR.3M]</v>
      </c>
      <c r="K5" s="57" t="str">
        <f>IF(D5="Monthly",_xll.QIns_CreateMonthlyAsianSwap("Mswp0_"&amp;ROW(),C5,A5,B5,0,1,F5,H5,I5,"2b",,J5),_xll.QIns_CreateAsianSwap("Tswp0_"&amp;ROW(),C5,A5,B5,0,1,F5,H5,I5,"2b",,J5))</f>
        <v>Tswp0_5¬0</v>
      </c>
      <c r="L5" s="51">
        <f ca="1">_xll.QIns_ProductParRate(K5,MetalCurves!$AM$21)</f>
        <v>26274.242073483107</v>
      </c>
      <c r="M5" s="14">
        <f t="shared" ca="1" si="4"/>
        <v>26274.242073483107</v>
      </c>
      <c r="N5" s="92">
        <v>143</v>
      </c>
      <c r="O5" s="57" t="str">
        <f ca="1">IF(D5="Monthly",_xll.QIns_CreateMonthlyAsianSwap("Mswp_"&amp;ROW(),C5,A5,B5,M5,N5,F5,H5,I5,"2b",,J5),_xll.QIns_CreateAsianSwap("Tswp_"&amp;ROW(),C5,A5,B5,M5,N5,F5,H5,I5,"2b",,J5))</f>
        <v>Tswp_5¬1</v>
      </c>
      <c r="P5" s="51">
        <f ca="1">_xll.QIns_ProductPV(O5,MetalCurves!$AM$21)</f>
        <v>0</v>
      </c>
      <c r="Q5" s="57" t="str">
        <f ca="1">_xll.QRisk_PortfolioDelta("delta_"&amp;ROW(),O5,MetalCurves!$AM$21)</f>
        <v>delta_5¬1</v>
      </c>
      <c r="R5" s="57" t="str">
        <f ca="1">_xll.QCube_AggregateCube("deltaAgg_"&amp;ROW(),Q5,"AssetId","Sum")</f>
        <v>deltaAgg_5¬1</v>
      </c>
      <c r="S5" s="53">
        <f ca="1">_xll.QCube_DisplayCubeValueForRow(R5,0)</f>
        <v>142.5790862431837</v>
      </c>
      <c r="T5" s="57" t="str">
        <f ca="1">_xll.QRisk_PortfolioFxDelta("fxdelta_"&amp;ROW(),O5,MetalCurves!$AM$21,"ZAR")</f>
        <v>fxdelta_5¬3</v>
      </c>
      <c r="U5" s="57" t="str">
        <f ca="1">_xll.QCube_AggregateCube("fxdeltaAgg_"&amp;ROW(),T5,"AssetId","Sum")</f>
        <v>fxdeltaAgg_5¬3</v>
      </c>
      <c r="V5" s="53">
        <f ca="1">_xll.QCube_DisplayCubeValueForRow(U5,0)</f>
        <v>266705.5711336346</v>
      </c>
    </row>
    <row r="6" spans="1:22" s="57" customFormat="1" x14ac:dyDescent="0.25">
      <c r="A6" s="57" t="s">
        <v>3</v>
      </c>
      <c r="B6" s="57" t="s">
        <v>25</v>
      </c>
      <c r="C6" s="48">
        <v>43617</v>
      </c>
      <c r="D6" s="57" t="s">
        <v>67</v>
      </c>
      <c r="E6" s="57" t="s">
        <v>71</v>
      </c>
      <c r="F6" s="57" t="str">
        <f t="shared" si="5"/>
        <v>LON+ZAR</v>
      </c>
      <c r="G6" s="57" t="s">
        <v>76</v>
      </c>
      <c r="H6" s="57" t="str">
        <f t="shared" si="6"/>
        <v>LON+NYC+ZAR</v>
      </c>
      <c r="I6" s="57" t="s">
        <v>76</v>
      </c>
      <c r="J6" s="57" t="str">
        <f>VLOOKUP(B6,FundingFx!$D$18:$E$19,2,FALSE)</f>
        <v>ZAR.DISC.[USD.LIBOR.3M]</v>
      </c>
      <c r="K6" s="57" t="str">
        <f>IF(D6="Monthly",_xll.QIns_CreateMonthlyAsianSwap("Mswp0_"&amp;ROW(),C6,A6,B6,0,1,F6,H6,I6,"2b",,J6),_xll.QIns_CreateAsianSwap("Tswp0_"&amp;ROW(),C6,A6,B6,0,1,F6,H6,I6,"2b",,J6))</f>
        <v>Tswp0_6¬0</v>
      </c>
      <c r="L6" s="51">
        <f ca="1">_xll.QIns_ProductParRate(K6,MetalCurves!$AM$21)</f>
        <v>26511.148768947853</v>
      </c>
      <c r="M6" s="14">
        <f t="shared" ca="1" si="4"/>
        <v>26511.148768947853</v>
      </c>
      <c r="N6" s="92">
        <v>149</v>
      </c>
      <c r="O6" s="57" t="str">
        <f ca="1">IF(D6="Monthly",_xll.QIns_CreateMonthlyAsianSwap("Mswp_"&amp;ROW(),C6,A6,B6,M6,N6,F6,H6,I6,"2b",,J6),_xll.QIns_CreateAsianSwap("Tswp_"&amp;ROW(),C6,A6,B6,M6,N6,F6,H6,I6,"2b",,J6))</f>
        <v>Tswp_6¬1</v>
      </c>
      <c r="P6" s="51">
        <f ca="1">_xll.QIns_ProductPV(O6,MetalCurves!$AM$21)</f>
        <v>0</v>
      </c>
      <c r="Q6" s="57" t="str">
        <f ca="1">_xll.QRisk_PortfolioDelta("delta_"&amp;ROW(),O6,MetalCurves!$AM$21)</f>
        <v>delta_6¬1</v>
      </c>
      <c r="R6" s="57" t="str">
        <f ca="1">_xll.QCube_AggregateCube("deltaAgg_"&amp;ROW(),Q6,"AssetId","Sum")</f>
        <v>deltaAgg_6¬1</v>
      </c>
      <c r="S6" s="53">
        <f ca="1">_xll.QCube_DisplayCubeValueForRow(R6,0)</f>
        <v>148.57988374542339</v>
      </c>
      <c r="T6" s="57" t="str">
        <f ca="1">_xll.QRisk_PortfolioFxDelta("fxdelta_"&amp;ROW(),O6,MetalCurves!$AM$21,"ZAR")</f>
        <v>fxdelta_6¬3</v>
      </c>
      <c r="U6" s="57" t="str">
        <f ca="1">_xll.QCube_AggregateCube("fxdeltaAgg_"&amp;ROW(),T6,"AssetId","Sum")</f>
        <v>fxdeltaAgg_6¬3</v>
      </c>
      <c r="V6" s="53">
        <f ca="1">_xll.QCube_DisplayCubeValueForRow(U6,0)</f>
        <v>278802.35621810408</v>
      </c>
    </row>
    <row r="7" spans="1:22" s="57" customFormat="1" x14ac:dyDescent="0.25">
      <c r="A7" s="57" t="s">
        <v>3</v>
      </c>
      <c r="B7" s="57" t="s">
        <v>25</v>
      </c>
      <c r="C7" s="48">
        <v>43647</v>
      </c>
      <c r="D7" s="57" t="s">
        <v>67</v>
      </c>
      <c r="E7" s="57" t="s">
        <v>71</v>
      </c>
      <c r="F7" s="57" t="str">
        <f t="shared" si="5"/>
        <v>LON+ZAR</v>
      </c>
      <c r="G7" s="57" t="s">
        <v>76</v>
      </c>
      <c r="H7" s="57" t="str">
        <f t="shared" si="6"/>
        <v>LON+NYC+ZAR</v>
      </c>
      <c r="I7" s="57" t="s">
        <v>76</v>
      </c>
      <c r="J7" s="57" t="str">
        <f>VLOOKUP(B7,FundingFx!$D$18:$E$19,2,FALSE)</f>
        <v>ZAR.DISC.[USD.LIBOR.3M]</v>
      </c>
      <c r="K7" s="57" t="str">
        <f>IF(D7="Monthly",_xll.QIns_CreateMonthlyAsianSwap("Mswp0_"&amp;ROW(),C7,A7,B7,0,1,F7,H7,I7,"2b",,J7),_xll.QIns_CreateAsianSwap("Tswp0_"&amp;ROW(),C7,A7,B7,0,1,F7,H7,I7,"2b",,J7))</f>
        <v>Tswp0_7¬0</v>
      </c>
      <c r="L7" s="51">
        <f ca="1">_xll.QIns_ProductParRate(K7,MetalCurves!$AM$21)</f>
        <v>26733.919457590262</v>
      </c>
      <c r="M7" s="14">
        <f t="shared" ca="1" si="4"/>
        <v>26733.919457590262</v>
      </c>
      <c r="N7" s="92">
        <v>329</v>
      </c>
      <c r="O7" s="57" t="str">
        <f ca="1">IF(D7="Monthly",_xll.QIns_CreateMonthlyAsianSwap("Mswp_"&amp;ROW(),C7,A7,B7,M7,N7,F7,H7,I7,"2b",,J7),_xll.QIns_CreateAsianSwap("Tswp_"&amp;ROW(),C7,A7,B7,M7,N7,F7,H7,I7,"2b",,J7))</f>
        <v>Tswp_7¬1</v>
      </c>
      <c r="P7" s="51">
        <f ca="1">_xll.QIns_ProductPV(O7,MetalCurves!$AM$21)</f>
        <v>0</v>
      </c>
      <c r="Q7" s="57" t="str">
        <f ca="1">_xll.QRisk_PortfolioDelta("delta_"&amp;ROW(),O7,MetalCurves!$AM$21)</f>
        <v>delta_7¬1</v>
      </c>
      <c r="R7" s="57" t="str">
        <f ca="1">_xll.QCube_AggregateCube("deltaAgg_"&amp;ROW(),Q7,"AssetId","Sum")</f>
        <v>deltaAgg_7¬1</v>
      </c>
      <c r="S7" s="53">
        <f ca="1">_xll.QCube_DisplayCubeValueForRow(R7,0)</f>
        <v>328.0301239669696</v>
      </c>
      <c r="T7" s="57" t="str">
        <f ca="1">_xll.QRisk_PortfolioFxDelta("fxdelta_"&amp;ROW(),O7,MetalCurves!$AM$21,"ZAR")</f>
        <v>fxdelta_7¬3</v>
      </c>
      <c r="U7" s="57" t="str">
        <f ca="1">_xll.QCube_AggregateCube("fxdeltaAgg_"&amp;ROW(),T7,"AssetId","Sum")</f>
        <v>fxdeltaAgg_7¬3</v>
      </c>
      <c r="V7" s="53">
        <f ca="1">_xll.QCube_DisplayCubeValueForRow(U7,0)</f>
        <v>616774.07433977607</v>
      </c>
    </row>
    <row r="8" spans="1:22" s="57" customFormat="1" x14ac:dyDescent="0.25">
      <c r="A8" s="57" t="s">
        <v>3</v>
      </c>
      <c r="B8" s="57" t="s">
        <v>25</v>
      </c>
      <c r="C8" s="48">
        <v>43678</v>
      </c>
      <c r="D8" s="57" t="s">
        <v>67</v>
      </c>
      <c r="E8" s="57" t="s">
        <v>71</v>
      </c>
      <c r="F8" s="57" t="str">
        <f t="shared" ref="F8:F18" si="7">"LON"&amp;IF(B8&lt;&gt;"USD","+"&amp;B8,"")</f>
        <v>LON+ZAR</v>
      </c>
      <c r="G8" s="57" t="s">
        <v>76</v>
      </c>
      <c r="H8" s="57" t="str">
        <f t="shared" ref="H8:H18" si="8">"LON+NYC"&amp;IF(B8&lt;&gt;"USD","+"&amp;B8,"")</f>
        <v>LON+NYC+ZAR</v>
      </c>
      <c r="I8" s="57" t="s">
        <v>76</v>
      </c>
      <c r="J8" s="57" t="str">
        <f>VLOOKUP(B8,FundingFx!$D$18:$E$19,2,FALSE)</f>
        <v>ZAR.DISC.[USD.LIBOR.3M]</v>
      </c>
      <c r="K8" s="57" t="str">
        <f>IF(D8="Monthly",_xll.QIns_CreateMonthlyAsianSwap("Mswp0_"&amp;ROW(),C8,A8,B8,0,1,F8,H8,I8,"2b",,J8),_xll.QIns_CreateAsianSwap("Tswp0_"&amp;ROW(),C8,A8,B8,0,1,F8,H8,I8,"2b",,J8))</f>
        <v>Tswp0_8¬0</v>
      </c>
      <c r="L8" s="51">
        <f ca="1">_xll.QIns_ProductParRate(K8,MetalCurves!$AM$21)</f>
        <v>26885.206709495986</v>
      </c>
      <c r="M8" s="14">
        <f t="shared" ca="1" si="4"/>
        <v>26885.206709495986</v>
      </c>
      <c r="N8" s="92">
        <v>185</v>
      </c>
      <c r="O8" s="57" t="str">
        <f ca="1">IF(D8="Monthly",_xll.QIns_CreateMonthlyAsianSwap("Mswp_"&amp;ROW(),C8,A8,B8,M8,N8,F8,H8,I8,"2b",,J8),_xll.QIns_CreateAsianSwap("Tswp_"&amp;ROW(),C8,A8,B8,M8,N8,F8,H8,I8,"2b",,J8))</f>
        <v>Tswp_8¬1</v>
      </c>
      <c r="P8" s="51">
        <f ca="1">_xll.QIns_ProductPV(O8,MetalCurves!$AM$21)</f>
        <v>0</v>
      </c>
      <c r="Q8" s="57" t="str">
        <f ca="1">_xll.QRisk_PortfolioDelta("delta_"&amp;ROW(),O8,MetalCurves!$AM$21)</f>
        <v>delta_8¬1</v>
      </c>
      <c r="R8" s="57" t="str">
        <f ca="1">_xll.QCube_AggregateCube("deltaAgg_"&amp;ROW(),Q8,"AssetId","Sum")</f>
        <v>deltaAgg_8¬1</v>
      </c>
      <c r="S8" s="53">
        <f ca="1">_xll.QCube_DisplayCubeValueForRow(R8,0)</f>
        <v>184.4216971122986</v>
      </c>
      <c r="T8" s="57" t="str">
        <f ca="1">_xll.QRisk_PortfolioFxDelta("fxdelta_"&amp;ROW(),O8,MetalCurves!$AM$21,"ZAR")</f>
        <v>fxdelta_8¬3</v>
      </c>
      <c r="U8" s="57" t="str">
        <f ca="1">_xll.QCube_AggregateCube("fxdeltaAgg_"&amp;ROW(),T8,"AssetId","Sum")</f>
        <v>fxdeltaAgg_8¬3</v>
      </c>
      <c r="V8" s="53">
        <f ca="1">_xll.QCube_DisplayCubeValueForRow(U8,0)</f>
        <v>346536.82084448216</v>
      </c>
    </row>
    <row r="9" spans="1:22" s="57" customFormat="1" x14ac:dyDescent="0.25">
      <c r="A9" s="57" t="s">
        <v>3</v>
      </c>
      <c r="B9" s="57" t="s">
        <v>25</v>
      </c>
      <c r="C9" s="48">
        <v>43709</v>
      </c>
      <c r="D9" s="57" t="s">
        <v>67</v>
      </c>
      <c r="E9" s="57" t="s">
        <v>71</v>
      </c>
      <c r="F9" s="57" t="str">
        <f t="shared" si="7"/>
        <v>LON+ZAR</v>
      </c>
      <c r="G9" s="57" t="s">
        <v>76</v>
      </c>
      <c r="H9" s="57" t="str">
        <f t="shared" si="8"/>
        <v>LON+NYC+ZAR</v>
      </c>
      <c r="I9" s="57" t="s">
        <v>76</v>
      </c>
      <c r="J9" s="57" t="str">
        <f>VLOOKUP(B9,FundingFx!$D$18:$E$19,2,FALSE)</f>
        <v>ZAR.DISC.[USD.LIBOR.3M]</v>
      </c>
      <c r="K9" s="57" t="str">
        <f>IF(D9="Monthly",_xll.QIns_CreateMonthlyAsianSwap("Mswp0_"&amp;ROW(),C9,A9,B9,0,1,F9,H9,I9,"2b",,J9),_xll.QIns_CreateAsianSwap("Tswp0_"&amp;ROW(),C9,A9,B9,0,1,F9,H9,I9,"2b",,J9))</f>
        <v>Tswp0_9¬0</v>
      </c>
      <c r="L9" s="51">
        <f ca="1">_xll.QIns_ProductParRate(K9,MetalCurves!$AM$21)</f>
        <v>27089.859981828493</v>
      </c>
      <c r="M9" s="14">
        <f t="shared" ca="1" si="4"/>
        <v>27089.859981828493</v>
      </c>
      <c r="N9" s="92">
        <v>189</v>
      </c>
      <c r="O9" s="57" t="str">
        <f ca="1">IF(D9="Monthly",_xll.QIns_CreateMonthlyAsianSwap("Mswp_"&amp;ROW(),C9,A9,B9,M9,N9,F9,H9,I9,"2b",,J9),_xll.QIns_CreateAsianSwap("Tswp_"&amp;ROW(),C9,A9,B9,M9,N9,F9,H9,I9,"2b",,J9))</f>
        <v>Tswp_9¬1</v>
      </c>
      <c r="P9" s="51">
        <f ca="1">_xll.QIns_ProductPV(O9,MetalCurves!$AM$21)</f>
        <v>0</v>
      </c>
      <c r="Q9" s="57" t="str">
        <f ca="1">_xll.QRisk_PortfolioDelta("delta_"&amp;ROW(),O9,MetalCurves!$AM$21)</f>
        <v>delta_9¬1</v>
      </c>
      <c r="R9" s="57" t="str">
        <f ca="1">_xll.QCube_AggregateCube("deltaAgg_"&amp;ROW(),Q9,"AssetId","Sum")</f>
        <v>deltaAgg_9¬1</v>
      </c>
      <c r="S9" s="53">
        <f ca="1">_xll.QCube_DisplayCubeValueForRow(R9,0)</f>
        <v>188.4507859833123</v>
      </c>
      <c r="T9" s="57" t="str">
        <f ca="1">_xll.QRisk_PortfolioFxDelta("fxdelta_"&amp;ROW(),O9,MetalCurves!$AM$21,"ZAR")</f>
        <v>fxdelta_9¬1</v>
      </c>
      <c r="U9" s="57" t="str">
        <f ca="1">_xll.QCube_AggregateCube("fxdeltaAgg_"&amp;ROW(),T9,"AssetId","Sum")</f>
        <v>fxdeltaAgg_9¬1</v>
      </c>
      <c r="V9" s="53">
        <f ca="1">_xll.QCube_DisplayCubeValueForRow(U9,0)</f>
        <v>354706.34574170859</v>
      </c>
    </row>
    <row r="10" spans="1:22" s="57" customFormat="1" x14ac:dyDescent="0.25">
      <c r="A10" s="57" t="s">
        <v>3</v>
      </c>
      <c r="B10" s="57" t="s">
        <v>25</v>
      </c>
      <c r="C10" s="48">
        <v>43739</v>
      </c>
      <c r="D10" s="57" t="s">
        <v>67</v>
      </c>
      <c r="E10" s="57" t="s">
        <v>71</v>
      </c>
      <c r="F10" s="57" t="str">
        <f t="shared" si="7"/>
        <v>LON+ZAR</v>
      </c>
      <c r="G10" s="57" t="s">
        <v>76</v>
      </c>
      <c r="H10" s="57" t="str">
        <f t="shared" si="8"/>
        <v>LON+NYC+ZAR</v>
      </c>
      <c r="I10" s="57" t="s">
        <v>76</v>
      </c>
      <c r="J10" s="57" t="str">
        <f>VLOOKUP(B10,FundingFx!$D$18:$E$19,2,FALSE)</f>
        <v>ZAR.DISC.[USD.LIBOR.3M]</v>
      </c>
      <c r="K10" s="57" t="str">
        <f>IF(D10="Monthly",_xll.QIns_CreateMonthlyAsianSwap("Mswp0_"&amp;ROW(),C10,A10,B10,0,1,F10,H10,I10,"2b",,J10),_xll.QIns_CreateAsianSwap("Tswp0_"&amp;ROW(),C10,A10,B10,0,1,F10,H10,I10,"2b",,J10))</f>
        <v>Tswp0_10¬0</v>
      </c>
      <c r="L10" s="51">
        <f ca="1">_xll.QIns_ProductParRate(K10,MetalCurves!$AM$21)</f>
        <v>27300.080818299662</v>
      </c>
      <c r="M10" s="14">
        <f t="shared" ca="1" si="4"/>
        <v>27300.080818299662</v>
      </c>
      <c r="N10" s="92">
        <v>201</v>
      </c>
      <c r="O10" s="57" t="str">
        <f ca="1">IF(D10="Monthly",_xll.QIns_CreateMonthlyAsianSwap("Mswp_"&amp;ROW(),C10,A10,B10,M10,N10,F10,H10,I10,"2b",,J10),_xll.QIns_CreateAsianSwap("Tswp_"&amp;ROW(),C10,A10,B10,M10,N10,F10,H10,I10,"2b",,J10))</f>
        <v>Tswp_10¬1</v>
      </c>
      <c r="P10" s="51">
        <f ca="1">_xll.QIns_ProductPV(O10,MetalCurves!$AM$21)</f>
        <v>-6.9416795548506541E-10</v>
      </c>
      <c r="Q10" s="57" t="str">
        <f ca="1">_xll.QRisk_PortfolioDelta("delta_"&amp;ROW(),O10,MetalCurves!$AM$21)</f>
        <v>delta_10¬1</v>
      </c>
      <c r="R10" s="57" t="str">
        <f ca="1">_xll.QCube_AggregateCube("deltaAgg_"&amp;ROW(),Q10,"AssetId","Sum")</f>
        <v>deltaAgg_10¬3</v>
      </c>
      <c r="S10" s="53">
        <f ca="1">_xll.QCube_DisplayCubeValueForRow(R10,0)</f>
        <v>200.34869914561142</v>
      </c>
      <c r="T10" s="57" t="str">
        <f ca="1">_xll.QRisk_PortfolioFxDelta("fxdelta_"&amp;ROW(),O10,MetalCurves!$AM$21,"ZAR")</f>
        <v>fxdelta_10¬1</v>
      </c>
      <c r="U10" s="57" t="str">
        <f ca="1">_xll.QCube_AggregateCube("fxdeltaAgg_"&amp;ROW(),T10,"AssetId","Sum")</f>
        <v>fxdeltaAgg_10¬1</v>
      </c>
      <c r="V10" s="53">
        <f ca="1">_xll.QCube_DisplayCubeValueForRow(U10,0)</f>
        <v>377609.99105461547</v>
      </c>
    </row>
    <row r="11" spans="1:22" s="57" customFormat="1" x14ac:dyDescent="0.25">
      <c r="A11" s="57" t="s">
        <v>3</v>
      </c>
      <c r="B11" s="57" t="s">
        <v>25</v>
      </c>
      <c r="C11" s="48">
        <v>43770</v>
      </c>
      <c r="D11" s="57" t="s">
        <v>67</v>
      </c>
      <c r="E11" s="57" t="s">
        <v>71</v>
      </c>
      <c r="F11" s="57" t="str">
        <f t="shared" si="7"/>
        <v>LON+ZAR</v>
      </c>
      <c r="G11" s="57" t="s">
        <v>76</v>
      </c>
      <c r="H11" s="57" t="str">
        <f t="shared" si="8"/>
        <v>LON+NYC+ZAR</v>
      </c>
      <c r="I11" s="57" t="s">
        <v>76</v>
      </c>
      <c r="J11" s="57" t="str">
        <f>VLOOKUP(B11,FundingFx!$D$18:$E$19,2,FALSE)</f>
        <v>ZAR.DISC.[USD.LIBOR.3M]</v>
      </c>
      <c r="K11" s="57" t="str">
        <f>IF(D11="Monthly",_xll.QIns_CreateMonthlyAsianSwap("Mswp0_"&amp;ROW(),C11,A11,B11,0,1,F11,H11,I11,"2b",,J11),_xll.QIns_CreateAsianSwap("Tswp0_"&amp;ROW(),C11,A11,B11,0,1,F11,H11,I11,"2b",,J11))</f>
        <v>Tswp0_11¬0</v>
      </c>
      <c r="L11" s="51">
        <f ca="1">_xll.QIns_ProductParRate(K11,MetalCurves!$AM$21)</f>
        <v>27503.41773599622</v>
      </c>
      <c r="M11" s="14">
        <f t="shared" ca="1" si="4"/>
        <v>27503.41773599622</v>
      </c>
      <c r="N11" s="92">
        <v>234</v>
      </c>
      <c r="O11" s="57" t="str">
        <f ca="1">IF(D11="Monthly",_xll.QIns_CreateMonthlyAsianSwap("Mswp_"&amp;ROW(),C11,A11,B11,M11,N11,F11,H11,I11,"2b",,J11),_xll.QIns_CreateAsianSwap("Tswp_"&amp;ROW(),C11,A11,B11,M11,N11,F11,H11,I11,"2b",,J11))</f>
        <v>Tswp_11¬1</v>
      </c>
      <c r="P11" s="51">
        <f ca="1">_xll.QIns_ProductPV(O11,MetalCurves!$AM$21)</f>
        <v>0</v>
      </c>
      <c r="Q11" s="57" t="str">
        <f ca="1">_xll.QRisk_PortfolioDelta("delta_"&amp;ROW(),O11,MetalCurves!$AM$21)</f>
        <v>delta_11¬1</v>
      </c>
      <c r="R11" s="57" t="str">
        <f ca="1">_xll.QCube_AggregateCube("deltaAgg_"&amp;ROW(),Q11,"AssetId","Sum")</f>
        <v>deltaAgg_11¬3</v>
      </c>
      <c r="S11" s="53">
        <f ca="1">_xll.QCube_DisplayCubeValueForRow(R11,0)</f>
        <v>233.33782347322753</v>
      </c>
      <c r="T11" s="57" t="str">
        <f ca="1">_xll.QRisk_PortfolioFxDelta("fxdelta_"&amp;ROW(),O11,MetalCurves!$AM$21,"ZAR")</f>
        <v>fxdelta_11¬1</v>
      </c>
      <c r="U11" s="57" t="str">
        <f ca="1">_xll.QCube_AggregateCube("fxdeltaAgg_"&amp;ROW(),T11,"AssetId","Sum")</f>
        <v>fxdeltaAgg_11¬1</v>
      </c>
      <c r="V11" s="53">
        <f ca="1">_xll.QCube_DisplayCubeValueForRow(U11,0)</f>
        <v>440331.18874198123</v>
      </c>
    </row>
    <row r="12" spans="1:22" s="57" customFormat="1" x14ac:dyDescent="0.25">
      <c r="A12" s="57" t="s">
        <v>3</v>
      </c>
      <c r="B12" s="57" t="s">
        <v>25</v>
      </c>
      <c r="C12" s="48">
        <v>43800</v>
      </c>
      <c r="D12" s="57" t="s">
        <v>67</v>
      </c>
      <c r="E12" s="57" t="s">
        <v>71</v>
      </c>
      <c r="F12" s="57" t="str">
        <f t="shared" si="7"/>
        <v>LON+ZAR</v>
      </c>
      <c r="G12" s="57" t="s">
        <v>76</v>
      </c>
      <c r="H12" s="57" t="str">
        <f t="shared" si="8"/>
        <v>LON+NYC+ZAR</v>
      </c>
      <c r="I12" s="57" t="s">
        <v>76</v>
      </c>
      <c r="J12" s="57" t="str">
        <f>VLOOKUP(B12,FundingFx!$D$18:$E$19,2,FALSE)</f>
        <v>ZAR.DISC.[USD.LIBOR.3M]</v>
      </c>
      <c r="K12" s="57" t="str">
        <f>IF(D12="Monthly",_xll.QIns_CreateMonthlyAsianSwap("Mswp0_"&amp;ROW(),C12,A12,B12,0,1,F12,H12,I12,"2b",,J12),_xll.QIns_CreateAsianSwap("Tswp0_"&amp;ROW(),C12,A12,B12,0,1,F12,H12,I12,"2b",,J12))</f>
        <v>Tswp0_12¬0</v>
      </c>
      <c r="L12" s="51">
        <f ca="1">_xll.QIns_ProductParRate(K12,MetalCurves!$AM$21)</f>
        <v>27683.41609896451</v>
      </c>
      <c r="M12" s="14">
        <f t="shared" ca="1" si="4"/>
        <v>27683.41609896451</v>
      </c>
      <c r="N12" s="92">
        <v>271</v>
      </c>
      <c r="O12" s="57" t="str">
        <f ca="1">IF(D12="Monthly",_xll.QIns_CreateMonthlyAsianSwap("Mswp_"&amp;ROW(),C12,A12,B12,M12,N12,F12,H12,I12,"2b",,J12),_xll.QIns_CreateAsianSwap("Tswp_"&amp;ROW(),C12,A12,B12,M12,N12,F12,H12,I12,"2b",,J12))</f>
        <v>Tswp_12¬1</v>
      </c>
      <c r="P12" s="51">
        <f ca="1">_xll.QIns_ProductPV(O12,MetalCurves!$AM$21)</f>
        <v>0</v>
      </c>
      <c r="Q12" s="57" t="str">
        <f ca="1">_xll.QRisk_PortfolioDelta("delta_"&amp;ROW(),O12,MetalCurves!$AM$21)</f>
        <v>delta_12¬1</v>
      </c>
      <c r="R12" s="57" t="str">
        <f ca="1">_xll.QCube_AggregateCube("deltaAgg_"&amp;ROW(),Q12,"AssetId","Sum")</f>
        <v>deltaAgg_12¬3</v>
      </c>
      <c r="S12" s="53">
        <f ca="1">_xll.QCube_DisplayCubeValueForRow(R12,0)</f>
        <v>270.1318918429854</v>
      </c>
      <c r="T12" s="57" t="str">
        <f ca="1">_xll.QRisk_PortfolioFxDelta("fxdelta_"&amp;ROW(),O12,MetalCurves!$AM$21,"ZAR")</f>
        <v>fxdelta_12¬1</v>
      </c>
      <c r="U12" s="57" t="str">
        <f ca="1">_xll.QCube_AggregateCube("fxdeltaAgg_"&amp;ROW(),T12,"AssetId","Sum")</f>
        <v>fxdeltaAgg_12¬1</v>
      </c>
      <c r="V12" s="53">
        <f ca="1">_xll.QCube_DisplayCubeValueForRow(U12,0)</f>
        <v>510078.15875512623</v>
      </c>
    </row>
    <row r="13" spans="1:22" s="57" customFormat="1" x14ac:dyDescent="0.25">
      <c r="A13" s="57" t="s">
        <v>3</v>
      </c>
      <c r="B13" s="57" t="s">
        <v>26</v>
      </c>
      <c r="C13" s="48">
        <v>43497</v>
      </c>
      <c r="D13" s="57" t="s">
        <v>67</v>
      </c>
      <c r="E13" s="57" t="s">
        <v>71</v>
      </c>
      <c r="F13" s="57" t="str">
        <f t="shared" si="7"/>
        <v>LON</v>
      </c>
      <c r="G13" s="57" t="s">
        <v>76</v>
      </c>
      <c r="H13" s="57" t="str">
        <f t="shared" si="8"/>
        <v>LON+NYC</v>
      </c>
      <c r="I13" s="57" t="s">
        <v>76</v>
      </c>
      <c r="J13" s="57" t="str">
        <f>VLOOKUP(B13,FundingFx!$D$18:$E$19,2,FALSE)</f>
        <v>USD.LIBOR.3M</v>
      </c>
      <c r="K13" s="57" t="str">
        <f>IF(D13="Monthly",_xll.QIns_CreateMonthlyAsianSwap("Mswp0_"&amp;ROW(),C13,A13,B13,0,1,F13,H13,I13,"2b",,J13),_xll.QIns_CreateAsianSwap("Tswp0_"&amp;ROW(),C13,A13,B13,0,1,F13,H13,I13,"2b",,J13))</f>
        <v>Tswp0_13¬0</v>
      </c>
      <c r="L13" s="51">
        <f ca="1">_xll.QIns_ProductParRate(K13,MetalCurves!$AM$21)</f>
        <v>1867.6036637931034</v>
      </c>
      <c r="M13" s="14">
        <f ca="1">L13</f>
        <v>1867.6036637931034</v>
      </c>
      <c r="N13" s="92">
        <v>2600</v>
      </c>
      <c r="O13" s="57" t="str">
        <f ca="1">IF(D13="Monthly",_xll.QIns_CreateMonthlyAsianSwap("Mswp_"&amp;ROW(),C13,A13,B13,M13,N13,F13,H13,I13,"2b",,J13),_xll.QIns_CreateAsianSwap("Tswp_"&amp;ROW(),C13,A13,B13,M13,N13,F13,H13,I13,"2b",,J13))</f>
        <v>Tswp_13¬1</v>
      </c>
      <c r="P13" s="51">
        <f ca="1">_xll.QIns_ProductPV(O13,MetalCurves!$AM$21)</f>
        <v>0</v>
      </c>
      <c r="Q13" s="57" t="str">
        <f ca="1">_xll.QRisk_PortfolioDelta("delta_"&amp;ROW(),O13,MetalCurves!$AM$21)</f>
        <v>delta_13¬1</v>
      </c>
      <c r="R13" s="57" t="str">
        <f ca="1">_xll.QCube_AggregateCube("deltaAgg_"&amp;ROW(),Q13,"AssetId","Sum")</f>
        <v>deltaAgg_13¬3</v>
      </c>
      <c r="S13" s="53">
        <f ca="1">_xll.QCube_DisplayCubeValueForRow(R13,0)</f>
        <v>2597.165292966346</v>
      </c>
      <c r="T13" s="57" t="str">
        <f ca="1">_xll.QRisk_PortfolioFxDelta("fxdelta_"&amp;ROW(),O13,MetalCurves!$AM$21,"ZAR")</f>
        <v>fxdelta_13¬1</v>
      </c>
      <c r="U13" s="57" t="str">
        <f ca="1">_xll.QCube_AggregateCube("fxdeltaAgg_"&amp;ROW(),T13,"AssetId","Sum")</f>
        <v>fxdeltaAgg_13¬1</v>
      </c>
      <c r="V13" s="53">
        <f ca="1">_xll.QCube_DisplayCubeValueForRow(U13,0)</f>
        <v>0</v>
      </c>
    </row>
    <row r="14" spans="1:22" s="57" customFormat="1" x14ac:dyDescent="0.25">
      <c r="A14" s="57" t="s">
        <v>3</v>
      </c>
      <c r="B14" s="57" t="s">
        <v>26</v>
      </c>
      <c r="C14" s="48">
        <v>43525</v>
      </c>
      <c r="D14" s="57" t="s">
        <v>67</v>
      </c>
      <c r="E14" s="57" t="s">
        <v>71</v>
      </c>
      <c r="F14" s="57" t="str">
        <f t="shared" si="7"/>
        <v>LON</v>
      </c>
      <c r="G14" s="57" t="s">
        <v>76</v>
      </c>
      <c r="H14" s="57" t="str">
        <f t="shared" si="8"/>
        <v>LON+NYC</v>
      </c>
      <c r="I14" s="57" t="s">
        <v>76</v>
      </c>
      <c r="J14" s="57" t="str">
        <f>VLOOKUP(B14,FundingFx!$D$18:$E$19,2,FALSE)</f>
        <v>USD.LIBOR.3M</v>
      </c>
      <c r="K14" s="57" t="str">
        <f>IF(D14="Monthly",_xll.QIns_CreateMonthlyAsianSwap("Mswp0_"&amp;ROW(),C14,A14,B14,0,1,F14,H14,I14,"2b",,J14),_xll.QIns_CreateAsianSwap("Tswp0_"&amp;ROW(),C14,A14,B14,0,1,F14,H14,I14,"2b",,J14))</f>
        <v>Tswp0_14¬0</v>
      </c>
      <c r="L14" s="51">
        <f ca="1">_xll.QIns_ProductParRate(K14,MetalCurves!$AM$21)</f>
        <v>1875.2023809523812</v>
      </c>
      <c r="M14" s="14">
        <f t="shared" ca="1" si="4"/>
        <v>1875.2023809523812</v>
      </c>
      <c r="N14" s="92">
        <f>N13</f>
        <v>2600</v>
      </c>
      <c r="O14" s="57" t="str">
        <f ca="1">IF(D14="Monthly",_xll.QIns_CreateMonthlyAsianSwap("Mswp_"&amp;ROW(),C14,A14,B14,M14,N14,F14,H14,I14,"2b",,J14),_xll.QIns_CreateAsianSwap("Tswp_"&amp;ROW(),C14,A14,B14,M14,N14,F14,H14,I14,"2b",,J14))</f>
        <v>Tswp_14¬1</v>
      </c>
      <c r="P14" s="51">
        <f ca="1">_xll.QIns_ProductPV(O14,MetalCurves!$AM$21)</f>
        <v>-5.8780560803302514E-10</v>
      </c>
      <c r="Q14" s="57" t="str">
        <f ca="1">_xll.QRisk_PortfolioDelta("delta_"&amp;ROW(),O14,MetalCurves!$AM$21)</f>
        <v>delta_14¬1</v>
      </c>
      <c r="R14" s="57" t="str">
        <f ca="1">_xll.QCube_AggregateCube("deltaAgg_"&amp;ROW(),Q14,"AssetId","Sum")</f>
        <v>deltaAgg_14¬3</v>
      </c>
      <c r="S14" s="53">
        <f ca="1">_xll.QCube_DisplayCubeValueForRow(R14,0)</f>
        <v>2597.1523346240378</v>
      </c>
      <c r="T14" s="57" t="str">
        <f ca="1">_xll.QRisk_PortfolioFxDelta("fxdelta_"&amp;ROW(),O14,MetalCurves!$AM$21,"ZAR")</f>
        <v>fxdelta_14¬1</v>
      </c>
      <c r="U14" s="57" t="str">
        <f ca="1">_xll.QCube_AggregateCube("fxdeltaAgg_"&amp;ROW(),T14,"AssetId","Sum")</f>
        <v>fxdeltaAgg_14¬1</v>
      </c>
      <c r="V14" s="53">
        <f ca="1">_xll.QCube_DisplayCubeValueForRow(U14,0)</f>
        <v>-5.8932812014935901E-10</v>
      </c>
    </row>
    <row r="15" spans="1:22" s="57" customFormat="1" x14ac:dyDescent="0.25">
      <c r="A15" s="57" t="s">
        <v>3</v>
      </c>
      <c r="B15" s="57" t="s">
        <v>26</v>
      </c>
      <c r="C15" s="48">
        <v>43556</v>
      </c>
      <c r="D15" s="57" t="s">
        <v>67</v>
      </c>
      <c r="E15" s="57" t="s">
        <v>71</v>
      </c>
      <c r="F15" s="57" t="str">
        <f t="shared" si="7"/>
        <v>LON</v>
      </c>
      <c r="G15" s="57" t="s">
        <v>76</v>
      </c>
      <c r="H15" s="57" t="str">
        <f t="shared" si="8"/>
        <v>LON+NYC</v>
      </c>
      <c r="I15" s="57" t="s">
        <v>76</v>
      </c>
      <c r="J15" s="57" t="str">
        <f>VLOOKUP(B15,FundingFx!$D$18:$E$19,2,FALSE)</f>
        <v>USD.LIBOR.3M</v>
      </c>
      <c r="K15" s="57" t="str">
        <f>IF(D15="Monthly",_xll.QIns_CreateMonthlyAsianSwap("Mswp0_"&amp;ROW(),C15,A15,B15,0,1,F15,H15,I15,"2b",,J15),_xll.QIns_CreateAsianSwap("Tswp0_"&amp;ROW(),C15,A15,B15,0,1,F15,H15,I15,"2b",,J15))</f>
        <v>Tswp0_15¬0</v>
      </c>
      <c r="L15" s="51">
        <f ca="1">_xll.QIns_ProductParRate(K15,MetalCurves!$AM$21)</f>
        <v>1874.7462962962968</v>
      </c>
      <c r="M15" s="14">
        <f t="shared" ca="1" si="4"/>
        <v>1874.7462962962968</v>
      </c>
      <c r="N15" s="92">
        <f t="shared" ref="N15:N23" si="9">N14</f>
        <v>2600</v>
      </c>
      <c r="O15" s="57" t="str">
        <f ca="1">IF(D15="Monthly",_xll.QIns_CreateMonthlyAsianSwap("Mswp_"&amp;ROW(),C15,A15,B15,M15,N15,F15,H15,I15,"2b",,J15),_xll.QIns_CreateAsianSwap("Tswp_"&amp;ROW(),C15,A15,B15,M15,N15,F15,H15,I15,"2b",,J15))</f>
        <v>Tswp_15¬1</v>
      </c>
      <c r="P15" s="51">
        <f ca="1">_xll.QIns_ProductPV(O15,MetalCurves!$AM$21)</f>
        <v>0</v>
      </c>
      <c r="Q15" s="57" t="str">
        <f ca="1">_xll.QRisk_PortfolioDelta("delta_"&amp;ROW(),O15,MetalCurves!$AM$21)</f>
        <v>delta_15¬1</v>
      </c>
      <c r="R15" s="57" t="str">
        <f ca="1">_xll.QCube_AggregateCube("deltaAgg_"&amp;ROW(),Q15,"AssetId","Sum")</f>
        <v>deltaAgg_15¬3</v>
      </c>
      <c r="S15" s="53">
        <f ca="1">_xll.QCube_DisplayCubeValueForRow(R15,0)</f>
        <v>2597.1543336453556</v>
      </c>
      <c r="T15" s="57" t="str">
        <f ca="1">_xll.QRisk_PortfolioFxDelta("fxdelta_"&amp;ROW(),O15,MetalCurves!$AM$21,"ZAR")</f>
        <v>fxdelta_15¬1</v>
      </c>
      <c r="U15" s="57" t="str">
        <f ca="1">_xll.QCube_AggregateCube("fxdeltaAgg_"&amp;ROW(),T15,"AssetId","Sum")</f>
        <v>fxdeltaAgg_15¬1</v>
      </c>
      <c r="V15" s="53">
        <f ca="1">_xll.QCube_DisplayCubeValueForRow(U15,0)</f>
        <v>0</v>
      </c>
    </row>
    <row r="16" spans="1:22" s="57" customFormat="1" x14ac:dyDescent="0.25">
      <c r="A16" s="57" t="s">
        <v>3</v>
      </c>
      <c r="B16" s="57" t="s">
        <v>26</v>
      </c>
      <c r="C16" s="48">
        <v>43586</v>
      </c>
      <c r="D16" s="57" t="s">
        <v>67</v>
      </c>
      <c r="E16" s="57" t="s">
        <v>71</v>
      </c>
      <c r="F16" s="57" t="str">
        <f t="shared" si="7"/>
        <v>LON</v>
      </c>
      <c r="G16" s="57" t="s">
        <v>76</v>
      </c>
      <c r="H16" s="57" t="str">
        <f t="shared" si="8"/>
        <v>LON+NYC</v>
      </c>
      <c r="I16" s="57" t="s">
        <v>76</v>
      </c>
      <c r="J16" s="57" t="str">
        <f>VLOOKUP(B16,FundingFx!$D$18:$E$19,2,FALSE)</f>
        <v>USD.LIBOR.3M</v>
      </c>
      <c r="K16" s="57" t="str">
        <f>IF(D16="Monthly",_xll.QIns_CreateMonthlyAsianSwap("Mswp0_"&amp;ROW(),C16,A16,B16,0,1,F16,H16,I16,"2b",,J16),_xll.QIns_CreateAsianSwap("Tswp0_"&amp;ROW(),C16,A16,B16,0,1,F16,H16,I16,"2b",,J16))</f>
        <v>Tswp0_16¬0</v>
      </c>
      <c r="L16" s="51">
        <f ca="1">_xll.QIns_ProductParRate(K16,MetalCurves!$AM$21)</f>
        <v>1883.0894431846814</v>
      </c>
      <c r="M16" s="14">
        <f t="shared" ca="1" si="4"/>
        <v>1883.0894431846814</v>
      </c>
      <c r="N16" s="92">
        <f t="shared" si="9"/>
        <v>2600</v>
      </c>
      <c r="O16" s="57" t="str">
        <f ca="1">IF(D16="Monthly",_xll.QIns_CreateMonthlyAsianSwap("Mswp_"&amp;ROW(),C16,A16,B16,M16,N16,F16,H16,I16,"2b",,J16),_xll.QIns_CreateAsianSwap("Tswp_"&amp;ROW(),C16,A16,B16,M16,N16,F16,H16,I16,"2b",,J16))</f>
        <v>Tswp_16¬1</v>
      </c>
      <c r="P16" s="51">
        <f ca="1">_xll.QIns_ProductPV(O16,MetalCurves!$AM$21)</f>
        <v>0</v>
      </c>
      <c r="Q16" s="57" t="str">
        <f ca="1">_xll.QRisk_PortfolioDelta("delta_"&amp;ROW(),O16,MetalCurves!$AM$21)</f>
        <v>delta_16¬1</v>
      </c>
      <c r="R16" s="57" t="str">
        <f ca="1">_xll.QCube_AggregateCube("deltaAgg_"&amp;ROW(),Q16,"AssetId","Sum")</f>
        <v>deltaAgg_16¬3</v>
      </c>
      <c r="S16" s="53">
        <f ca="1">_xll.QCube_DisplayCubeValueForRow(R16,0)</f>
        <v>2597.0262374112126</v>
      </c>
      <c r="T16" s="57" t="str">
        <f ca="1">_xll.QRisk_PortfolioFxDelta("fxdelta_"&amp;ROW(),O16,MetalCurves!$AM$21,"ZAR")</f>
        <v>fxdelta_16¬1</v>
      </c>
      <c r="U16" s="57" t="str">
        <f ca="1">_xll.QCube_AggregateCube("fxdeltaAgg_"&amp;ROW(),T16,"AssetId","Sum")</f>
        <v>fxdeltaAgg_16¬1</v>
      </c>
      <c r="V16" s="53">
        <f ca="1">_xll.QCube_DisplayCubeValueForRow(U16,0)</f>
        <v>0</v>
      </c>
    </row>
    <row r="17" spans="1:26" s="57" customFormat="1" x14ac:dyDescent="0.25">
      <c r="A17" s="57" t="s">
        <v>3</v>
      </c>
      <c r="B17" s="57" t="s">
        <v>26</v>
      </c>
      <c r="C17" s="48">
        <v>43617</v>
      </c>
      <c r="D17" s="57" t="s">
        <v>67</v>
      </c>
      <c r="E17" s="57" t="s">
        <v>71</v>
      </c>
      <c r="F17" s="57" t="str">
        <f t="shared" si="7"/>
        <v>LON</v>
      </c>
      <c r="G17" s="57" t="s">
        <v>76</v>
      </c>
      <c r="H17" s="57" t="str">
        <f t="shared" si="8"/>
        <v>LON+NYC</v>
      </c>
      <c r="I17" s="57" t="s">
        <v>76</v>
      </c>
      <c r="J17" s="57" t="str">
        <f>VLOOKUP(B17,FundingFx!$D$18:$E$19,2,FALSE)</f>
        <v>USD.LIBOR.3M</v>
      </c>
      <c r="K17" s="57" t="str">
        <f>IF(D17="Monthly",_xll.QIns_CreateMonthlyAsianSwap("Mswp0_"&amp;ROW(),C17,A17,B17,0,1,F17,H17,I17,"2b",,J17),_xll.QIns_CreateAsianSwap("Tswp0_"&amp;ROW(),C17,A17,B17,0,1,F17,H17,I17,"2b",,J17))</f>
        <v>Tswp0_17¬0</v>
      </c>
      <c r="L17" s="51">
        <f ca="1">_xll.QIns_ProductParRate(K17,MetalCurves!$AM$21)</f>
        <v>1893.13625</v>
      </c>
      <c r="M17" s="14">
        <f t="shared" ca="1" si="4"/>
        <v>1893.13625</v>
      </c>
      <c r="N17" s="92">
        <f t="shared" si="9"/>
        <v>2600</v>
      </c>
      <c r="O17" s="57" t="str">
        <f ca="1">IF(D17="Monthly",_xll.QIns_CreateMonthlyAsianSwap("Mswp_"&amp;ROW(),C17,A17,B17,M17,N17,F17,H17,I17,"2b",,J17),_xll.QIns_CreateAsianSwap("Tswp_"&amp;ROW(),C17,A17,B17,M17,N17,F17,H17,I17,"2b",,J17))</f>
        <v>Tswp_17¬1</v>
      </c>
      <c r="P17" s="51">
        <f ca="1">_xll.QIns_ProductPV(O17,MetalCurves!$AM$21)</f>
        <v>0</v>
      </c>
      <c r="Q17" s="57" t="str">
        <f ca="1">_xll.QRisk_PortfolioDelta("delta_"&amp;ROW(),O17,MetalCurves!$AM$21)</f>
        <v>delta_17¬1</v>
      </c>
      <c r="R17" s="57" t="str">
        <f ca="1">_xll.QCube_AggregateCube("deltaAgg_"&amp;ROW(),Q17,"AssetId","Sum")</f>
        <v>deltaAgg_17¬3</v>
      </c>
      <c r="S17" s="53">
        <f ca="1">_xll.QCube_DisplayCubeValueForRow(R17,0)</f>
        <v>2597.3434912504481</v>
      </c>
      <c r="T17" s="57" t="str">
        <f ca="1">_xll.QRisk_PortfolioFxDelta("fxdelta_"&amp;ROW(),O17,MetalCurves!$AM$21,"ZAR")</f>
        <v>fxdelta_17¬1</v>
      </c>
      <c r="U17" s="57" t="str">
        <f ca="1">_xll.QCube_AggregateCube("fxdeltaAgg_"&amp;ROW(),T17,"AssetId","Sum")</f>
        <v>fxdeltaAgg_17¬1</v>
      </c>
      <c r="V17" s="53">
        <f ca="1">_xll.QCube_DisplayCubeValueForRow(U17,0)</f>
        <v>0</v>
      </c>
      <c r="Y17" s="84"/>
      <c r="Z17" s="128"/>
    </row>
    <row r="18" spans="1:26" s="57" customFormat="1" x14ac:dyDescent="0.25">
      <c r="A18" s="57" t="s">
        <v>3</v>
      </c>
      <c r="B18" s="57" t="s">
        <v>26</v>
      </c>
      <c r="C18" s="48">
        <v>43647</v>
      </c>
      <c r="D18" s="57" t="s">
        <v>67</v>
      </c>
      <c r="E18" s="57" t="s">
        <v>71</v>
      </c>
      <c r="F18" s="57" t="str">
        <f t="shared" si="7"/>
        <v>LON</v>
      </c>
      <c r="G18" s="57" t="s">
        <v>76</v>
      </c>
      <c r="H18" s="57" t="str">
        <f t="shared" si="8"/>
        <v>LON+NYC</v>
      </c>
      <c r="I18" s="57" t="s">
        <v>76</v>
      </c>
      <c r="J18" s="57" t="str">
        <f>VLOOKUP(B18,FundingFx!$D$18:$E$19,2,FALSE)</f>
        <v>USD.LIBOR.3M</v>
      </c>
      <c r="K18" s="57" t="str">
        <f>IF(D18="Monthly",_xll.QIns_CreateMonthlyAsianSwap("Mswp0_"&amp;ROW(),C18,A18,B18,0,1,F18,H18,I18,"2b",,J18),_xll.QIns_CreateAsianSwap("Tswp0_"&amp;ROW(),C18,A18,B18,0,1,F18,H18,I18,"2b",,J18))</f>
        <v>Tswp0_18¬0</v>
      </c>
      <c r="L18" s="51">
        <f ca="1">_xll.QIns_ProductParRate(K18,MetalCurves!$AM$21)</f>
        <v>1901.2520186335403</v>
      </c>
      <c r="M18" s="14">
        <f t="shared" ca="1" si="4"/>
        <v>1901.2520186335403</v>
      </c>
      <c r="N18" s="92">
        <f t="shared" si="9"/>
        <v>2600</v>
      </c>
      <c r="O18" s="57" t="str">
        <f ca="1">IF(D18="Monthly",_xll.QIns_CreateMonthlyAsianSwap("Mswp_"&amp;ROW(),C18,A18,B18,M18,N18,F18,H18,I18,"2b",,J18),_xll.QIns_CreateAsianSwap("Tswp_"&amp;ROW(),C18,A18,B18,M18,N18,F18,H18,I18,"2b",,J18))</f>
        <v>Tswp_18¬1</v>
      </c>
      <c r="P18" s="51">
        <f ca="1">_xll.QIns_ProductPV(O18,MetalCurves!$AM$21)</f>
        <v>0</v>
      </c>
      <c r="Q18" s="57" t="str">
        <f ca="1">_xll.QRisk_PortfolioDelta("delta_"&amp;ROW(),O18,MetalCurves!$AM$21)</f>
        <v>delta_18¬1</v>
      </c>
      <c r="R18" s="57" t="str">
        <f ca="1">_xll.QCube_AggregateCube("deltaAgg_"&amp;ROW(),Q18,"AssetId","Sum")</f>
        <v>deltaAgg_18¬1</v>
      </c>
      <c r="S18" s="53">
        <f ca="1">_xll.QCube_DisplayCubeValueForRow(R18,0)</f>
        <v>2597.1289803463792</v>
      </c>
      <c r="T18" s="57" t="str">
        <f ca="1">_xll.QRisk_PortfolioFxDelta("fxdelta_"&amp;ROW(),O18,MetalCurves!$AM$21,"ZAR")</f>
        <v>fxdelta_18¬1</v>
      </c>
      <c r="U18" s="57" t="str">
        <f ca="1">_xll.QCube_AggregateCube("fxdeltaAgg_"&amp;ROW(),T18,"AssetId","Sum")</f>
        <v>fxdeltaAgg_18¬1</v>
      </c>
      <c r="V18" s="53">
        <f ca="1">_xll.QCube_DisplayCubeValueForRow(U18,0)</f>
        <v>0</v>
      </c>
      <c r="Y18" s="84"/>
      <c r="Z18" s="128"/>
    </row>
    <row r="19" spans="1:26" s="57" customFormat="1" x14ac:dyDescent="0.25">
      <c r="A19" s="57" t="s">
        <v>3</v>
      </c>
      <c r="B19" s="57" t="s">
        <v>26</v>
      </c>
      <c r="C19" s="48">
        <v>43678</v>
      </c>
      <c r="D19" s="57" t="s">
        <v>67</v>
      </c>
      <c r="E19" s="57" t="s">
        <v>71</v>
      </c>
      <c r="F19" s="57" t="str">
        <f t="shared" ref="F19:F23" si="10">"LON"&amp;IF(B19&lt;&gt;"USD","+"&amp;B19,"")</f>
        <v>LON</v>
      </c>
      <c r="G19" s="57" t="s">
        <v>76</v>
      </c>
      <c r="H19" s="57" t="str">
        <f t="shared" ref="H19:H23" si="11">"LON+NYC"&amp;IF(B19&lt;&gt;"USD","+"&amp;B19,"")</f>
        <v>LON+NYC</v>
      </c>
      <c r="I19" s="57" t="s">
        <v>76</v>
      </c>
      <c r="J19" s="57" t="str">
        <f>VLOOKUP(B19,FundingFx!$D$18:$E$19,2,FALSE)</f>
        <v>USD.LIBOR.3M</v>
      </c>
      <c r="K19" s="57" t="str">
        <f>IF(D19="Monthly",_xll.QIns_CreateMonthlyAsianSwap("Mswp0_"&amp;ROW(),C19,A19,B19,0,1,F19,H19,I19,"2b",,J19),_xll.QIns_CreateAsianSwap("Tswp0_"&amp;ROW(),C19,A19,B19,0,1,F19,H19,I19,"2b",,J19))</f>
        <v>Tswp0_19¬0</v>
      </c>
      <c r="L19" s="51">
        <f ca="1">_xll.QIns_ProductParRate(K19,MetalCurves!$AM$21)</f>
        <v>1904.544557823129</v>
      </c>
      <c r="M19" s="14">
        <f t="shared" ca="1" si="4"/>
        <v>1904.544557823129</v>
      </c>
      <c r="N19" s="92">
        <f t="shared" si="9"/>
        <v>2600</v>
      </c>
      <c r="O19" s="57" t="str">
        <f ca="1">IF(D19="Monthly",_xll.QIns_CreateMonthlyAsianSwap("Mswp_"&amp;ROW(),C19,A19,B19,M19,N19,F19,H19,I19,"2b",,J19),_xll.QIns_CreateAsianSwap("Tswp_"&amp;ROW(),C19,A19,B19,M19,N19,F19,H19,I19,"2b",,J19))</f>
        <v>Tswp_19¬1</v>
      </c>
      <c r="P19" s="51">
        <f ca="1">_xll.QIns_ProductPV(O19,MetalCurves!$AM$21)</f>
        <v>0</v>
      </c>
      <c r="Q19" s="57" t="str">
        <f ca="1">_xll.QRisk_PortfolioDelta("delta_"&amp;ROW(),O19,MetalCurves!$AM$21)</f>
        <v>delta_19¬1</v>
      </c>
      <c r="R19" s="57" t="str">
        <f ca="1">_xll.QCube_AggregateCube("deltaAgg_"&amp;ROW(),Q19,"AssetId","Sum")</f>
        <v>deltaAgg_19¬3</v>
      </c>
      <c r="S19" s="53">
        <f ca="1">_xll.QCube_DisplayCubeValueForRow(R19,0)</f>
        <v>2596.7902813219566</v>
      </c>
      <c r="T19" s="57" t="str">
        <f ca="1">_xll.QRisk_PortfolioFxDelta("fxdelta_"&amp;ROW(),O19,MetalCurves!$AM$21,"ZAR")</f>
        <v>fxdelta_19¬1</v>
      </c>
      <c r="U19" s="57" t="str">
        <f ca="1">_xll.QCube_AggregateCube("fxdeltaAgg_"&amp;ROW(),T19,"AssetId","Sum")</f>
        <v>fxdeltaAgg_19¬1</v>
      </c>
      <c r="V19" s="53">
        <f ca="1">_xll.QCube_DisplayCubeValueForRow(U19,0)</f>
        <v>0</v>
      </c>
    </row>
    <row r="20" spans="1:26" s="57" customFormat="1" x14ac:dyDescent="0.25">
      <c r="A20" s="57" t="s">
        <v>3</v>
      </c>
      <c r="B20" s="57" t="s">
        <v>26</v>
      </c>
      <c r="C20" s="48">
        <v>43709</v>
      </c>
      <c r="D20" s="57" t="s">
        <v>67</v>
      </c>
      <c r="E20" s="57" t="s">
        <v>71</v>
      </c>
      <c r="F20" s="57" t="str">
        <f t="shared" si="10"/>
        <v>LON</v>
      </c>
      <c r="G20" s="57" t="s">
        <v>76</v>
      </c>
      <c r="H20" s="57" t="str">
        <f t="shared" si="11"/>
        <v>LON+NYC</v>
      </c>
      <c r="I20" s="57" t="s">
        <v>76</v>
      </c>
      <c r="J20" s="57" t="str">
        <f>VLOOKUP(B20,FundingFx!$D$18:$E$19,2,FALSE)</f>
        <v>USD.LIBOR.3M</v>
      </c>
      <c r="K20" s="57" t="str">
        <f>IF(D20="Monthly",_xll.QIns_CreateMonthlyAsianSwap("Mswp0_"&amp;ROW(),C20,A20,B20,0,1,F20,H20,I20,"2b",,J20),_xll.QIns_CreateAsianSwap("Tswp0_"&amp;ROW(),C20,A20,B20,0,1,F20,H20,I20,"2b",,J20))</f>
        <v>Tswp0_20¬0</v>
      </c>
      <c r="L20" s="51">
        <f ca="1">_xll.QIns_ProductParRate(K20,MetalCurves!$AM$21)</f>
        <v>1912.172619047619</v>
      </c>
      <c r="M20" s="14">
        <f t="shared" ca="1" si="4"/>
        <v>1912.172619047619</v>
      </c>
      <c r="N20" s="92">
        <f t="shared" si="9"/>
        <v>2600</v>
      </c>
      <c r="O20" s="57" t="str">
        <f ca="1">IF(D20="Monthly",_xll.QIns_CreateMonthlyAsianSwap("Mswp_"&amp;ROW(),C20,A20,B20,M20,N20,F20,H20,I20,"2b",,J20),_xll.QIns_CreateAsianSwap("Tswp_"&amp;ROW(),C20,A20,B20,M20,N20,F20,H20,I20,"2b",,J20))</f>
        <v>Tswp_20¬1</v>
      </c>
      <c r="P20" s="51">
        <f ca="1">_xll.QIns_ProductPV(O20,MetalCurves!$AM$21)</f>
        <v>0</v>
      </c>
      <c r="Q20" s="57" t="str">
        <f ca="1">_xll.QRisk_PortfolioDelta("delta_"&amp;ROW(),O20,MetalCurves!$AM$21)</f>
        <v>delta_20¬1</v>
      </c>
      <c r="R20" s="57" t="str">
        <f ca="1">_xll.QCube_AggregateCube("deltaAgg_"&amp;ROW(),Q20,"AssetId","Sum")</f>
        <v>deltaAgg_20¬3</v>
      </c>
      <c r="S20" s="53">
        <f ca="1">_xll.QCube_DisplayCubeValueForRow(R20,0)</f>
        <v>2597.2539680651125</v>
      </c>
      <c r="T20" s="57" t="str">
        <f ca="1">_xll.QRisk_PortfolioFxDelta("fxdelta_"&amp;ROW(),O20,MetalCurves!$AM$21,"ZAR")</f>
        <v>fxdelta_20¬1</v>
      </c>
      <c r="U20" s="57" t="str">
        <f ca="1">_xll.QCube_AggregateCube("fxdeltaAgg_"&amp;ROW(),T20,"AssetId","Sum")</f>
        <v>fxdeltaAgg_20¬1</v>
      </c>
      <c r="V20" s="53">
        <f ca="1">_xll.QCube_DisplayCubeValueForRow(U20,0)</f>
        <v>0</v>
      </c>
    </row>
    <row r="21" spans="1:26" s="57" customFormat="1" x14ac:dyDescent="0.25">
      <c r="A21" s="57" t="s">
        <v>3</v>
      </c>
      <c r="B21" s="57" t="s">
        <v>26</v>
      </c>
      <c r="C21" s="48">
        <v>43739</v>
      </c>
      <c r="D21" s="57" t="s">
        <v>67</v>
      </c>
      <c r="E21" s="57" t="s">
        <v>71</v>
      </c>
      <c r="F21" s="57" t="str">
        <f t="shared" si="10"/>
        <v>LON</v>
      </c>
      <c r="G21" s="57" t="s">
        <v>76</v>
      </c>
      <c r="H21" s="57" t="str">
        <f t="shared" si="11"/>
        <v>LON+NYC</v>
      </c>
      <c r="I21" s="57" t="s">
        <v>76</v>
      </c>
      <c r="J21" s="57" t="str">
        <f>VLOOKUP(B21,FundingFx!$D$18:$E$19,2,FALSE)</f>
        <v>USD.LIBOR.3M</v>
      </c>
      <c r="K21" s="57" t="str">
        <f>IF(D21="Monthly",_xll.QIns_CreateMonthlyAsianSwap("Mswp0_"&amp;ROW(),C21,A21,B21,0,1,F21,H21,I21,"2b",,J21),_xll.QIns_CreateAsianSwap("Tswp0_"&amp;ROW(),C21,A21,B21,0,1,F21,H21,I21,"2b",,J21))</f>
        <v>Tswp0_21¬0</v>
      </c>
      <c r="L21" s="51">
        <f ca="1">_xll.QIns_ProductParRate(K21,MetalCurves!$AM$21)</f>
        <v>1919.1751552795031</v>
      </c>
      <c r="M21" s="14">
        <f t="shared" ca="1" si="4"/>
        <v>1919.1751552795031</v>
      </c>
      <c r="N21" s="92">
        <f t="shared" si="9"/>
        <v>2600</v>
      </c>
      <c r="O21" s="57" t="str">
        <f ca="1">IF(D21="Monthly",_xll.QIns_CreateMonthlyAsianSwap("Mswp_"&amp;ROW(),C21,A21,B21,M21,N21,F21,H21,I21,"2b",,J21),_xll.QIns_CreateAsianSwap("Tswp_"&amp;ROW(),C21,A21,B21,M21,N21,F21,H21,I21,"2b",,J21))</f>
        <v>Tswp_21¬1</v>
      </c>
      <c r="P21" s="51">
        <f ca="1">_xll.QIns_ProductPV(O21,MetalCurves!$AM$21)</f>
        <v>0</v>
      </c>
      <c r="Q21" s="57" t="str">
        <f ca="1">_xll.QRisk_PortfolioDelta("delta_"&amp;ROW(),O21,MetalCurves!$AM$21)</f>
        <v>delta_21¬1</v>
      </c>
      <c r="R21" s="57" t="str">
        <f ca="1">_xll.QCube_AggregateCube("deltaAgg_"&amp;ROW(),Q21,"AssetId","Sum")</f>
        <v>deltaAgg_21¬1</v>
      </c>
      <c r="S21" s="53">
        <f ca="1">_xll.QCube_DisplayCubeValueForRow(R21,0)</f>
        <v>2596.817500816649</v>
      </c>
      <c r="T21" s="57" t="str">
        <f ca="1">_xll.QRisk_PortfolioFxDelta("fxdelta_"&amp;ROW(),O21,MetalCurves!$AM$21,"ZAR")</f>
        <v>fxdelta_21¬1</v>
      </c>
      <c r="U21" s="57" t="str">
        <f ca="1">_xll.QCube_AggregateCube("fxdeltaAgg_"&amp;ROW(),T21,"AssetId","Sum")</f>
        <v>fxdeltaAgg_21¬1</v>
      </c>
      <c r="V21" s="53">
        <f ca="1">_xll.QCube_DisplayCubeValueForRow(U21,0)</f>
        <v>0</v>
      </c>
    </row>
    <row r="22" spans="1:26" s="57" customFormat="1" x14ac:dyDescent="0.25">
      <c r="A22" s="57" t="s">
        <v>3</v>
      </c>
      <c r="B22" s="57" t="s">
        <v>26</v>
      </c>
      <c r="C22" s="48">
        <v>43770</v>
      </c>
      <c r="D22" s="57" t="s">
        <v>67</v>
      </c>
      <c r="E22" s="57" t="s">
        <v>71</v>
      </c>
      <c r="F22" s="57" t="str">
        <f t="shared" si="10"/>
        <v>LON</v>
      </c>
      <c r="G22" s="57" t="s">
        <v>76</v>
      </c>
      <c r="H22" s="57" t="str">
        <f t="shared" si="11"/>
        <v>LON+NYC</v>
      </c>
      <c r="I22" s="57" t="s">
        <v>76</v>
      </c>
      <c r="J22" s="57" t="str">
        <f>VLOOKUP(B22,FundingFx!$D$18:$E$19,2,FALSE)</f>
        <v>USD.LIBOR.3M</v>
      </c>
      <c r="K22" s="57" t="str">
        <f>IF(D22="Monthly",_xll.QIns_CreateMonthlyAsianSwap("Mswp0_"&amp;ROW(),C22,A22,B22,0,1,F22,H22,I22,"2b",,J22),_xll.QIns_CreateAsianSwap("Tswp0_"&amp;ROW(),C22,A22,B22,0,1,F22,H22,I22,"2b",,J22))</f>
        <v>Tswp0_22¬0</v>
      </c>
      <c r="L22" s="51">
        <f ca="1">_xll.QIns_ProductParRate(K22,MetalCurves!$AM$21)</f>
        <v>1926.0343537414963</v>
      </c>
      <c r="M22" s="14">
        <f t="shared" ca="1" si="4"/>
        <v>1926.0343537414963</v>
      </c>
      <c r="N22" s="92">
        <f t="shared" si="9"/>
        <v>2600</v>
      </c>
      <c r="O22" s="57" t="str">
        <f ca="1">IF(D22="Monthly",_xll.QIns_CreateMonthlyAsianSwap("Mswp_"&amp;ROW(),C22,A22,B22,M22,N22,F22,H22,I22,"2b",,J22),_xll.QIns_CreateAsianSwap("Tswp_"&amp;ROW(),C22,A22,B22,M22,N22,F22,H22,I22,"2b",,J22))</f>
        <v>Tswp_22¬1</v>
      </c>
      <c r="P22" s="51">
        <f ca="1">_xll.QIns_ProductPV(O22,MetalCurves!$AM$21)</f>
        <v>0</v>
      </c>
      <c r="Q22" s="57" t="str">
        <f ca="1">_xll.QRisk_PortfolioDelta("delta_"&amp;ROW(),O22,MetalCurves!$AM$21)</f>
        <v>delta_22¬1</v>
      </c>
      <c r="R22" s="57" t="str">
        <f ca="1">_xll.QCube_AggregateCube("deltaAgg_"&amp;ROW(),Q22,"AssetId","Sum")</f>
        <v>deltaAgg_22¬3</v>
      </c>
      <c r="S22" s="53">
        <f ca="1">_xll.QCube_DisplayCubeValueForRow(R22,0)</f>
        <v>2597.177357621646</v>
      </c>
      <c r="T22" s="57" t="str">
        <f ca="1">_xll.QRisk_PortfolioFxDelta("fxdelta_"&amp;ROW(),O22,MetalCurves!$AM$21,"ZAR")</f>
        <v>fxdelta_22¬1</v>
      </c>
      <c r="U22" s="57" t="str">
        <f ca="1">_xll.QCube_AggregateCube("fxdeltaAgg_"&amp;ROW(),T22,"AssetId","Sum")</f>
        <v>fxdeltaAgg_22¬1</v>
      </c>
      <c r="V22" s="53">
        <f ca="1">_xll.QCube_DisplayCubeValueForRow(U22,0)</f>
        <v>0</v>
      </c>
    </row>
    <row r="23" spans="1:26" s="57" customFormat="1" x14ac:dyDescent="0.25">
      <c r="A23" s="57" t="s">
        <v>3</v>
      </c>
      <c r="B23" s="57" t="s">
        <v>26</v>
      </c>
      <c r="C23" s="48">
        <v>43800</v>
      </c>
      <c r="D23" s="57" t="s">
        <v>67</v>
      </c>
      <c r="E23" s="57" t="s">
        <v>71</v>
      </c>
      <c r="F23" s="57" t="str">
        <f t="shared" si="10"/>
        <v>LON</v>
      </c>
      <c r="G23" s="57" t="s">
        <v>76</v>
      </c>
      <c r="H23" s="57" t="str">
        <f t="shared" si="11"/>
        <v>LON+NYC</v>
      </c>
      <c r="I23" s="57" t="s">
        <v>76</v>
      </c>
      <c r="J23" s="57" t="str">
        <f>VLOOKUP(B23,FundingFx!$D$18:$E$19,2,FALSE)</f>
        <v>USD.LIBOR.3M</v>
      </c>
      <c r="K23" s="57" t="str">
        <f>IF(D23="Monthly",_xll.QIns_CreateMonthlyAsianSwap("Mswp0_"&amp;ROW(),C23,A23,B23,0,1,F23,H23,I23,"2b",,J23),_xll.QIns_CreateAsianSwap("Tswp0_"&amp;ROW(),C23,A23,B23,0,1,F23,H23,I23,"2b",,J23))</f>
        <v>Tswp0_23¬0</v>
      </c>
      <c r="L23" s="51">
        <f ca="1">_xll.QIns_ProductParRate(K23,MetalCurves!$AM$21)</f>
        <v>1931.5178571428573</v>
      </c>
      <c r="M23" s="14">
        <f t="shared" ca="1" si="4"/>
        <v>1931.5178571428573</v>
      </c>
      <c r="N23" s="92">
        <f t="shared" si="9"/>
        <v>2600</v>
      </c>
      <c r="O23" s="57" t="str">
        <f ca="1">IF(D23="Monthly",_xll.QIns_CreateMonthlyAsianSwap("Mswp_"&amp;ROW(),C23,A23,B23,M23,N23,F23,H23,I23,"2b",,J23),_xll.QIns_CreateAsianSwap("Tswp_"&amp;ROW(),C23,A23,B23,M23,N23,F23,H23,I23,"2b",,J23))</f>
        <v>Tswp_23¬1</v>
      </c>
      <c r="P23" s="51">
        <f ca="1">_xll.QIns_ProductPV(O23,MetalCurves!$AM$21)</f>
        <v>0</v>
      </c>
      <c r="Q23" s="57" t="str">
        <f ca="1">_xll.QRisk_PortfolioDelta("delta_"&amp;ROW(),O23,MetalCurves!$AM$21)</f>
        <v>delta_23¬1</v>
      </c>
      <c r="R23" s="57" t="str">
        <f ca="1">_xll.QCube_AggregateCube("deltaAgg_"&amp;ROW(),Q23,"AssetId","Sum")</f>
        <v>deltaAgg_23¬2</v>
      </c>
      <c r="S23" s="53">
        <f ca="1">_xll.QCube_DisplayCubeValueForRow(R23,0)</f>
        <v>2596.8583309620967</v>
      </c>
      <c r="T23" s="57" t="str">
        <f ca="1">_xll.QRisk_PortfolioFxDelta("fxdelta_"&amp;ROW(),O23,MetalCurves!$AM$21,"ZAR")</f>
        <v>fxdelta_23¬1</v>
      </c>
      <c r="U23" s="57" t="str">
        <f ca="1">_xll.QCube_AggregateCube("fxdeltaAgg_"&amp;ROW(),T23,"AssetId","Sum")</f>
        <v>fxdeltaAgg_23¬1</v>
      </c>
      <c r="V23" s="53">
        <f ca="1">_xll.QCube_DisplayCubeValueForRow(U23,0)</f>
        <v>0</v>
      </c>
    </row>
    <row r="24" spans="1:26" x14ac:dyDescent="0.25">
      <c r="B24" s="57"/>
      <c r="C24" s="48"/>
      <c r="L24" s="51"/>
      <c r="M24" s="14"/>
      <c r="N24" s="92"/>
      <c r="P24" s="51"/>
      <c r="T24" s="57"/>
      <c r="U24"/>
    </row>
    <row r="25" spans="1:26" x14ac:dyDescent="0.25">
      <c r="B25" s="57"/>
      <c r="C25" s="48"/>
      <c r="L25" s="51"/>
      <c r="M25" s="14"/>
      <c r="N25" s="92"/>
      <c r="P25" s="51"/>
      <c r="T25" s="57"/>
      <c r="U25"/>
    </row>
    <row r="26" spans="1:26" x14ac:dyDescent="0.25">
      <c r="C26" s="48"/>
      <c r="L26" s="51"/>
      <c r="M26" s="14"/>
      <c r="N26" s="92"/>
      <c r="P26" s="51"/>
      <c r="T26"/>
      <c r="U26"/>
    </row>
    <row r="28" spans="1:26" x14ac:dyDescent="0.25">
      <c r="A28" t="s">
        <v>3</v>
      </c>
      <c r="B28" t="s">
        <v>26</v>
      </c>
      <c r="C28" s="48">
        <v>43466</v>
      </c>
      <c r="D28" t="s">
        <v>67</v>
      </c>
      <c r="E28" t="s">
        <v>71</v>
      </c>
      <c r="F28" t="str">
        <f t="shared" ref="F28:F33" si="12">"LON"&amp;IF(B28&lt;&gt;"USD","+"&amp;B28,"")</f>
        <v>LON</v>
      </c>
      <c r="G28" t="s">
        <v>76</v>
      </c>
      <c r="H28" t="str">
        <f t="shared" ref="H28:H33" si="13">"LON+NYC"&amp;IF(B28&lt;&gt;"USD","+"&amp;B28,"")</f>
        <v>LON+NYC</v>
      </c>
      <c r="I28" t="s">
        <v>76</v>
      </c>
      <c r="J28" s="57" t="str">
        <f>VLOOKUP(B28,FundingFx!$D$18:$E$19,2,FALSE)</f>
        <v>USD.LIBOR.3M</v>
      </c>
      <c r="K28" t="str">
        <f>IF(D28="Monthly",_xll.QIns_CreateMonthlyAsianSwap("Mswp0_"&amp;ROW(),C28,A28,B28,0,1,F28,H28,I28,"2b",,J28),_xll.QIns_CreateAsianSwap("Tswp0_"&amp;ROW(),C28,A28,B28,0,1,F28,H28,I28,"2b",,J28))</f>
        <v>Tswp0_28¬0</v>
      </c>
      <c r="L28" s="51">
        <f ca="1">_xll.QIns_ProductParRate(K28,MetalCurves!$AM$21)</f>
        <v>1845.4459247648899</v>
      </c>
      <c r="M28" s="14">
        <v>32000</v>
      </c>
      <c r="N28" s="92">
        <v>135</v>
      </c>
      <c r="O28" t="str">
        <f>IF(D28="Monthly",_xll.QIns_CreateMonthlyAsianSwap("Mswp_"&amp;ROW(),C28,A28,B28,M28,N28,F28,H28,I28,"2b",,J28),_xll.QIns_CreateAsianSwap("Tswp_"&amp;ROW(),C28,A28,B28,M28,N28,F28,H28,I28,"2b",,J28))</f>
        <v>Tswp_28¬0</v>
      </c>
      <c r="P28" s="51">
        <f ca="1">_xll.QIns_ProductPV(O28,MetalCurves!$AM$21)</f>
        <v>-4065448.6336948476</v>
      </c>
      <c r="Q28" t="str">
        <f ca="1">_xll.QRisk_PortfolioDelta("delta_"&amp;ROW(),O28,MetalCurves!$AM$21)</f>
        <v>delta_28¬1</v>
      </c>
      <c r="R28" t="str">
        <f ca="1">_xll.QCube_AggregateCube("deltaAgg_"&amp;ROW(),Q28,"AssetId","Sum")</f>
        <v>deltaAgg_28¬2</v>
      </c>
      <c r="S28" s="53">
        <f ca="1">_xll.QCube_DisplayCubeValueForRow(R28,0)</f>
        <v>61.329468905935599</v>
      </c>
      <c r="T28" s="57" t="str">
        <f ca="1">_xll.QRisk_PortfolioFxDelta("fxdelta_"&amp;ROW(),O28,MetalCurves!$AM$21,"ZAR")</f>
        <v>fxdelta_28¬1</v>
      </c>
      <c r="U28" t="str">
        <f ca="1">_xll.QCube_AggregateCube("fxdeltaAgg_"&amp;ROW(),T28,"AssetId","Sum")</f>
        <v>fxdeltaAgg_28¬1</v>
      </c>
      <c r="V28" s="53">
        <f ca="1">_xll.QCube_DisplayCubeValueForRow(U28,0)</f>
        <v>-4075978.8068040451</v>
      </c>
    </row>
    <row r="29" spans="1:26" x14ac:dyDescent="0.25">
      <c r="A29" t="s">
        <v>3</v>
      </c>
      <c r="B29" t="s">
        <v>26</v>
      </c>
      <c r="C29" s="48">
        <v>43497</v>
      </c>
      <c r="D29" t="s">
        <v>67</v>
      </c>
      <c r="E29" t="s">
        <v>71</v>
      </c>
      <c r="F29" t="str">
        <f t="shared" si="12"/>
        <v>LON</v>
      </c>
      <c r="G29" t="s">
        <v>76</v>
      </c>
      <c r="H29" t="str">
        <f t="shared" si="13"/>
        <v>LON+NYC</v>
      </c>
      <c r="I29" t="s">
        <v>76</v>
      </c>
      <c r="J29" s="57" t="str">
        <f>VLOOKUP(B29,FundingFx!$D$18:$E$19,2,FALSE)</f>
        <v>USD.LIBOR.3M</v>
      </c>
      <c r="K29" t="str">
        <f>IF(D29="Monthly",_xll.QIns_CreateMonthlyAsianSwap("Mswp0_"&amp;ROW(),C29,A29,B29,0,1,F29,H29,I29,"2b",,J29),_xll.QIns_CreateAsianSwap("Tswp0_"&amp;ROW(),C29,A29,B29,0,1,F29,H29,I29,"2b",,J29))</f>
        <v>Tswp0_29¬0</v>
      </c>
      <c r="L29" s="51">
        <f ca="1">_xll.QIns_ProductParRate(K29,MetalCurves!$AM$21)</f>
        <v>1867.6036637931034</v>
      </c>
      <c r="M29" s="14">
        <v>32000</v>
      </c>
      <c r="N29" s="92">
        <v>135</v>
      </c>
      <c r="O29" t="str">
        <f>IF(D29="Monthly",_xll.QIns_CreateMonthlyAsianSwap("Mswp_"&amp;ROW(),C29,A29,B29,M29,N29,F29,H29,I29,"2b",,J29),_xll.QIns_CreateAsianSwap("Tswp_"&amp;ROW(),C29,A29,B29,M29,N29,F29,H29,I29,"2b",,J29))</f>
        <v>Tswp_29¬0</v>
      </c>
      <c r="P29" s="51">
        <f ca="1">_xll.QIns_ProductPV(O29,MetalCurves!$AM$21)</f>
        <v>-4053666.1777792014</v>
      </c>
      <c r="Q29" t="str">
        <f ca="1">_xll.QRisk_PortfolioDelta("delta_"&amp;ROW(),O29,MetalCurves!$AM$21)</f>
        <v>delta_29¬1</v>
      </c>
      <c r="R29" t="str">
        <f ca="1">_xll.QCube_AggregateCube("deltaAgg_"&amp;ROW(),Q29,"AssetId","Sum")</f>
        <v>deltaAgg_29¬2</v>
      </c>
      <c r="S29" s="53">
        <f ca="1">_xll.QCube_DisplayCubeValueForRow(R29,0)</f>
        <v>134.85281326131505</v>
      </c>
      <c r="T29" s="57" t="str">
        <f ca="1">_xll.QRisk_PortfolioFxDelta("fxdelta_"&amp;ROW(),O29,MetalCurves!$AM$21,"ZAR")</f>
        <v>fxdelta_29¬1</v>
      </c>
      <c r="U29" t="str">
        <f ca="1">_xll.QCube_AggregateCube("fxdeltaAgg_"&amp;ROW(),T29,"AssetId","Sum")</f>
        <v>fxdeltaAgg_29¬1</v>
      </c>
      <c r="V29" s="53">
        <f ca="1">_xll.QCube_DisplayCubeValueForRow(U29,0)</f>
        <v>-4064165.8324097865</v>
      </c>
    </row>
    <row r="30" spans="1:26" x14ac:dyDescent="0.25">
      <c r="A30" t="s">
        <v>3</v>
      </c>
      <c r="B30" t="s">
        <v>26</v>
      </c>
      <c r="C30" s="48">
        <v>43525</v>
      </c>
      <c r="D30" t="s">
        <v>67</v>
      </c>
      <c r="E30" t="s">
        <v>71</v>
      </c>
      <c r="F30" t="str">
        <f t="shared" si="12"/>
        <v>LON</v>
      </c>
      <c r="G30" t="s">
        <v>76</v>
      </c>
      <c r="H30" t="str">
        <f t="shared" si="13"/>
        <v>LON+NYC</v>
      </c>
      <c r="I30" t="s">
        <v>76</v>
      </c>
      <c r="J30" s="57" t="str">
        <f>VLOOKUP(B30,FundingFx!$D$18:$E$19,2,FALSE)</f>
        <v>USD.LIBOR.3M</v>
      </c>
      <c r="K30" t="str">
        <f>IF(D30="Monthly",_xll.QIns_CreateMonthlyAsianSwap("Mswp0_"&amp;ROW(),C30,A30,B30,0,1,F30,H30,I30,"2b",,J30),_xll.QIns_CreateAsianSwap("Tswp0_"&amp;ROW(),C30,A30,B30,0,1,F30,H30,I30,"2b",,J30))</f>
        <v>Tswp0_30¬0</v>
      </c>
      <c r="L30" s="51">
        <f ca="1">_xll.QIns_ProductParRate(K30,MetalCurves!$AM$21)</f>
        <v>1875.2023809523812</v>
      </c>
      <c r="M30" s="14">
        <v>32000</v>
      </c>
      <c r="N30" s="92">
        <v>135</v>
      </c>
      <c r="O30" t="str">
        <f>IF(D30="Monthly",_xll.QIns_CreateMonthlyAsianSwap("Mswp_"&amp;ROW(),C30,A30,B30,M30,N30,F30,H30,I30,"2b",,J30),_xll.QIns_CreateAsianSwap("Tswp_"&amp;ROW(),C30,A30,B30,M30,N30,F30,H30,I30,"2b",,J30))</f>
        <v>Tswp_30¬0</v>
      </c>
      <c r="P30" s="51">
        <f ca="1">_xll.QIns_ProductPV(O30,MetalCurves!$AM$21)</f>
        <v>-4043692.3048850195</v>
      </c>
      <c r="Q30" t="str">
        <f ca="1">_xll.QRisk_PortfolioDelta("delta_"&amp;ROW(),O30,MetalCurves!$AM$21)</f>
        <v>delta_30¬1</v>
      </c>
      <c r="R30" t="str">
        <f ca="1">_xll.QCube_AggregateCube("deltaAgg_"&amp;ROW(),Q30,"AssetId","Sum")</f>
        <v>deltaAgg_30¬2</v>
      </c>
      <c r="S30" s="53">
        <f ca="1">_xll.QCube_DisplayCubeValueForRow(R30,0)</f>
        <v>134.85214051961495</v>
      </c>
      <c r="T30" s="57" t="str">
        <f ca="1">_xll.QRisk_PortfolioFxDelta("fxdelta_"&amp;ROW(),O30,MetalCurves!$AM$21,"ZAR")</f>
        <v>fxdelta_30¬1</v>
      </c>
      <c r="U30" t="str">
        <f ca="1">_xll.QCube_AggregateCube("fxdeltaAgg_"&amp;ROW(),T30,"AssetId","Sum")</f>
        <v>fxdeltaAgg_30¬1</v>
      </c>
      <c r="V30" s="53">
        <f ca="1">_xll.QCube_DisplayCubeValueForRow(U30,0)</f>
        <v>-4054166.125563446</v>
      </c>
    </row>
    <row r="31" spans="1:26" x14ac:dyDescent="0.25">
      <c r="A31" t="s">
        <v>3</v>
      </c>
      <c r="B31" t="s">
        <v>26</v>
      </c>
      <c r="C31" s="48">
        <v>43556</v>
      </c>
      <c r="D31" t="s">
        <v>67</v>
      </c>
      <c r="E31" t="s">
        <v>71</v>
      </c>
      <c r="F31" t="str">
        <f t="shared" si="12"/>
        <v>LON</v>
      </c>
      <c r="G31" t="s">
        <v>76</v>
      </c>
      <c r="H31" t="str">
        <f t="shared" si="13"/>
        <v>LON+NYC</v>
      </c>
      <c r="I31" t="s">
        <v>76</v>
      </c>
      <c r="J31" s="57" t="str">
        <f>VLOOKUP(B31,FundingFx!$D$18:$E$19,2,FALSE)</f>
        <v>USD.LIBOR.3M</v>
      </c>
      <c r="K31" t="str">
        <f>IF(D31="Monthly",_xll.QIns_CreateMonthlyAsianSwap("Mswp0_"&amp;ROW(),C31,A31,B31,0,1,F31,H31,I31,"2b",,J31),_xll.QIns_CreateAsianSwap("Tswp0_"&amp;ROW(),C31,A31,B31,0,1,F31,H31,I31,"2b",,J31))</f>
        <v>Tswp0_31¬0</v>
      </c>
      <c r="L31" s="51">
        <f ca="1">_xll.QIns_ProductParRate(K31,MetalCurves!$AM$21)</f>
        <v>1874.7462962962968</v>
      </c>
      <c r="M31" s="14">
        <v>32000</v>
      </c>
      <c r="N31" s="92">
        <v>135</v>
      </c>
      <c r="O31" t="str">
        <f>IF(D31="Monthly",_xll.QIns_CreateMonthlyAsianSwap("Mswp_"&amp;ROW(),C31,A31,B31,M31,N31,F31,H31,I31,"2b",,J31),_xll.QIns_CreateAsianSwap("Tswp_"&amp;ROW(),C31,A31,B31,M31,N31,F31,H31,I31,"2b",,J31))</f>
        <v>Tswp_31¬0</v>
      </c>
      <c r="P31" s="51">
        <f ca="1">_xll.QIns_ProductPV(O31,MetalCurves!$AM$21)</f>
        <v>-4034658.3959908932</v>
      </c>
      <c r="Q31" t="str">
        <f ca="1">_xll.QRisk_PortfolioDelta("delta_"&amp;ROW(),O31,MetalCurves!$AM$21)</f>
        <v>delta_31¬1</v>
      </c>
      <c r="R31" t="str">
        <f ca="1">_xll.QCube_AggregateCube("deltaAgg_"&amp;ROW(),Q31,"AssetId","Sum")</f>
        <v>deltaAgg_31¬2</v>
      </c>
      <c r="S31" s="53">
        <f ca="1">_xll.QCube_DisplayCubeValueForRow(R31,0)</f>
        <v>134.85224413788214</v>
      </c>
      <c r="T31" s="57" t="str">
        <f ca="1">_xll.QRisk_PortfolioFxDelta("fxdelta_"&amp;ROW(),O31,MetalCurves!$AM$21,"ZAR")</f>
        <v>fxdelta_31¬1</v>
      </c>
      <c r="U31" t="str">
        <f ca="1">_xll.QCube_AggregateCube("fxdeltaAgg_"&amp;ROW(),T31,"AssetId","Sum")</f>
        <v>fxdeltaAgg_31¬1</v>
      </c>
      <c r="V31" s="53">
        <f ca="1">_xll.QCube_DisplayCubeValueForRow(U31,0)</f>
        <v>-4045108.8173769177</v>
      </c>
    </row>
    <row r="32" spans="1:26" x14ac:dyDescent="0.25">
      <c r="A32" t="s">
        <v>3</v>
      </c>
      <c r="B32" t="s">
        <v>26</v>
      </c>
      <c r="C32" s="48">
        <v>43586</v>
      </c>
      <c r="D32" t="s">
        <v>67</v>
      </c>
      <c r="E32" t="s">
        <v>71</v>
      </c>
      <c r="F32" t="str">
        <f t="shared" si="12"/>
        <v>LON</v>
      </c>
      <c r="G32" t="s">
        <v>76</v>
      </c>
      <c r="H32" t="str">
        <f t="shared" si="13"/>
        <v>LON+NYC</v>
      </c>
      <c r="I32" t="s">
        <v>76</v>
      </c>
      <c r="J32" s="57" t="str">
        <f>VLOOKUP(B32,FundingFx!$D$18:$E$19,2,FALSE)</f>
        <v>USD.LIBOR.3M</v>
      </c>
      <c r="K32" t="str">
        <f>IF(D32="Monthly",_xll.QIns_CreateMonthlyAsianSwap("Mswp0_"&amp;ROW(),C32,A32,B32,0,1,F32,H32,I32,"2b",,J32),_xll.QIns_CreateAsianSwap("Tswp0_"&amp;ROW(),C32,A32,B32,0,1,F32,H32,I32,"2b",,J32))</f>
        <v>Tswp0_32¬0</v>
      </c>
      <c r="L32" s="51">
        <f ca="1">_xll.QIns_ProductParRate(K32,MetalCurves!$AM$21)</f>
        <v>1883.0894431846814</v>
      </c>
      <c r="M32" s="14">
        <v>32000</v>
      </c>
      <c r="N32" s="92">
        <v>135</v>
      </c>
      <c r="O32" t="str">
        <f>IF(D32="Monthly",_xll.QIns_CreateMonthlyAsianSwap("Mswp_"&amp;ROW(),C32,A32,B32,M32,N32,F32,H32,I32,"2b",,J32),_xll.QIns_CreateAsianSwap("Tswp_"&amp;ROW(),C32,A32,B32,M32,N32,F32,H32,I32,"2b",,J32))</f>
        <v>Tswp_32¬0</v>
      </c>
      <c r="P32" s="51">
        <f ca="1">_xll.QIns_ProductPV(O32,MetalCurves!$AM$21)</f>
        <v>-4023732.026946574</v>
      </c>
      <c r="Q32" t="str">
        <f ca="1">_xll.QRisk_PortfolioDelta("delta_"&amp;ROW(),O32,MetalCurves!$AM$21)</f>
        <v>delta_32¬1</v>
      </c>
      <c r="R32" t="str">
        <f ca="1">_xll.QCube_AggregateCube("deltaAgg_"&amp;ROW(),Q32,"AssetId","Sum")</f>
        <v>deltaAgg_32¬2</v>
      </c>
      <c r="S32" s="53">
        <f ca="1">_xll.QCube_DisplayCubeValueForRow(R32,0)</f>
        <v>134.84559296083046</v>
      </c>
      <c r="T32" s="57" t="str">
        <f ca="1">_xll.QRisk_PortfolioFxDelta("fxdelta_"&amp;ROW(),O32,MetalCurves!$AM$21,"ZAR")</f>
        <v>fxdelta_32¬1</v>
      </c>
      <c r="U32" t="str">
        <f ca="1">_xll.QCube_AggregateCube("fxdeltaAgg_"&amp;ROW(),T32,"AssetId","Sum")</f>
        <v>fxdeltaAgg_32¬1</v>
      </c>
      <c r="V32" s="53">
        <f ca="1">_xll.QCube_DisplayCubeValueForRow(U32,0)</f>
        <v>-4034154.1472551101</v>
      </c>
    </row>
    <row r="33" spans="1:22" x14ac:dyDescent="0.25">
      <c r="A33" t="s">
        <v>3</v>
      </c>
      <c r="B33" t="s">
        <v>26</v>
      </c>
      <c r="C33" s="48">
        <v>43617</v>
      </c>
      <c r="D33" t="s">
        <v>67</v>
      </c>
      <c r="E33" t="s">
        <v>71</v>
      </c>
      <c r="F33" t="str">
        <f t="shared" si="12"/>
        <v>LON</v>
      </c>
      <c r="G33" t="s">
        <v>76</v>
      </c>
      <c r="H33" t="str">
        <f t="shared" si="13"/>
        <v>LON+NYC</v>
      </c>
      <c r="I33" t="s">
        <v>76</v>
      </c>
      <c r="J33" s="57" t="str">
        <f>VLOOKUP(B33,FundingFx!$D$18:$E$19,2,FALSE)</f>
        <v>USD.LIBOR.3M</v>
      </c>
      <c r="K33" t="str">
        <f>IF(D33="Monthly",_xll.QIns_CreateMonthlyAsianSwap("Mswp0_"&amp;ROW(),C33,A33,B33,0,1,F33,H33,I33,"2b",,J33),_xll.QIns_CreateAsianSwap("Tswp0_"&amp;ROW(),C33,A33,B33,0,1,F33,H33,I33,"2b",,J33))</f>
        <v>Tswp0_33¬0</v>
      </c>
      <c r="L33" s="51">
        <f ca="1">_xll.QIns_ProductParRate(K33,MetalCurves!$AM$21)</f>
        <v>1893.13625</v>
      </c>
      <c r="M33" s="14">
        <v>32000</v>
      </c>
      <c r="N33" s="92">
        <v>135</v>
      </c>
      <c r="O33" t="str">
        <f>IF(D33="Monthly",_xll.QIns_CreateMonthlyAsianSwap("Mswp_"&amp;ROW(),C33,A33,B33,M33,N33,F33,H33,I33,"2b",,J33),_xll.QIns_CreateAsianSwap("Tswp_"&amp;ROW(),C33,A33,B33,M33,N33,F33,H33,I33,"2b",,J33))</f>
        <v>Tswp_33¬0</v>
      </c>
      <c r="P33" s="51">
        <f ca="1">_xll.QIns_ProductPV(O33,MetalCurves!$AM$21)</f>
        <v>-4014069.5630927961</v>
      </c>
      <c r="Q33" t="str">
        <f ca="1">_xll.QRisk_PortfolioDelta("delta_"&amp;ROW(),O33,MetalCurves!$AM$21)</f>
        <v>delta_33¬1</v>
      </c>
      <c r="R33" t="str">
        <f ca="1">_xll.QCube_AggregateCube("deltaAgg_"&amp;ROW(),Q33,"AssetId","Sum")</f>
        <v>deltaAgg_33¬2</v>
      </c>
      <c r="S33" s="53">
        <f ca="1">_xll.QCube_DisplayCubeValueForRow(R33,0)</f>
        <v>134.86206601987797</v>
      </c>
      <c r="T33" s="57" t="str">
        <f ca="1">_xll.QRisk_PortfolioFxDelta("fxdelta_"&amp;ROW(),O33,MetalCurves!$AM$21,"ZAR")</f>
        <v>fxdelta_33¬1</v>
      </c>
      <c r="U33" t="str">
        <f ca="1">_xll.QCube_AggregateCube("fxdeltaAgg_"&amp;ROW(),T33,"AssetId","Sum")</f>
        <v>fxdeltaAgg_33¬1</v>
      </c>
      <c r="V33" s="53">
        <f ca="1">_xll.QCube_DisplayCubeValueForRow(U33,0)</f>
        <v>-4024466.6560526621</v>
      </c>
    </row>
    <row r="34" spans="1:22" s="57" customFormat="1" x14ac:dyDescent="0.25">
      <c r="A34" s="57" t="s">
        <v>3</v>
      </c>
      <c r="B34" s="57" t="s">
        <v>26</v>
      </c>
      <c r="C34" s="48">
        <v>43647</v>
      </c>
      <c r="D34" s="57" t="s">
        <v>67</v>
      </c>
      <c r="E34" s="57" t="s">
        <v>71</v>
      </c>
      <c r="F34" s="57" t="str">
        <f t="shared" ref="F34:F39" si="14">"LON"&amp;IF(B34&lt;&gt;"USD","+"&amp;B34,"")</f>
        <v>LON</v>
      </c>
      <c r="G34" s="57" t="s">
        <v>76</v>
      </c>
      <c r="H34" s="57" t="str">
        <f t="shared" ref="H34:H39" si="15">"LON+NYC"&amp;IF(B34&lt;&gt;"USD","+"&amp;B34,"")</f>
        <v>LON+NYC</v>
      </c>
      <c r="I34" s="57" t="s">
        <v>76</v>
      </c>
      <c r="J34" s="57" t="str">
        <f>VLOOKUP(B34,FundingFx!$D$18:$E$19,2,FALSE)</f>
        <v>USD.LIBOR.3M</v>
      </c>
      <c r="K34" s="57" t="str">
        <f>IF(D34="Monthly",_xll.QIns_CreateMonthlyAsianSwap("Mswp0_"&amp;ROW(),C34,A34,B34,0,1,F34,H34,I34,"2b",,J34),_xll.QIns_CreateAsianSwap("Tswp0_"&amp;ROW(),C34,A34,B34,0,1,F34,H34,I34,"2b",,J34))</f>
        <v>Tswp0_34¬0</v>
      </c>
      <c r="L34" s="51">
        <f ca="1">_xll.QIns_ProductParRate(K34,MetalCurves!$AM$21)</f>
        <v>1901.2520186335403</v>
      </c>
      <c r="M34" s="14">
        <v>32000</v>
      </c>
      <c r="N34" s="92">
        <v>135</v>
      </c>
      <c r="O34" s="57" t="str">
        <f>IF(D34="Monthly",_xll.QIns_CreateMonthlyAsianSwap("Mswp_"&amp;ROW(),C34,A34,B34,M34,N34,F34,H34,I34,"2b",,J34),_xll.QIns_CreateAsianSwap("Tswp_"&amp;ROW(),C34,A34,B34,M34,N34,F34,H34,I34,"2b",,J34))</f>
        <v>Tswp_34¬0</v>
      </c>
      <c r="P34" s="51">
        <f ca="1">_xll.QIns_ProductPV(O34,MetalCurves!$AM$21)</f>
        <v>-4003608.7008512286</v>
      </c>
      <c r="Q34" s="57" t="str">
        <f ca="1">_xll.QRisk_PortfolioDelta("delta_"&amp;ROW(),O34,MetalCurves!$AM$21)</f>
        <v>delta_34¬1</v>
      </c>
      <c r="R34" s="57" t="str">
        <f ca="1">_xll.QCube_AggregateCube("deltaAgg_"&amp;ROW(),Q34,"AssetId","Sum")</f>
        <v>deltaAgg_34¬1</v>
      </c>
      <c r="S34" s="53">
        <f ca="1">_xll.QCube_DisplayCubeValueForRow(R34,0)</f>
        <v>134.85092786499635</v>
      </c>
      <c r="T34" s="57" t="str">
        <f ca="1">_xll.QRisk_PortfolioFxDelta("fxdelta_"&amp;ROW(),O34,MetalCurves!$AM$21,"ZAR")</f>
        <v>fxdelta_34¬1</v>
      </c>
      <c r="U34" s="57" t="str">
        <f ca="1">_xll.QCube_AggregateCube("fxdeltaAgg_"&amp;ROW(),T34,"AssetId","Sum")</f>
        <v>fxdeltaAgg_34¬1</v>
      </c>
      <c r="V34" s="53">
        <f ca="1">_xll.QCube_DisplayCubeValueForRow(U34,0)</f>
        <v>-4013978.6984771369</v>
      </c>
    </row>
    <row r="35" spans="1:22" s="57" customFormat="1" x14ac:dyDescent="0.25">
      <c r="A35" s="57" t="s">
        <v>3</v>
      </c>
      <c r="B35" s="57" t="s">
        <v>26</v>
      </c>
      <c r="C35" s="48">
        <v>43678</v>
      </c>
      <c r="D35" s="57" t="s">
        <v>67</v>
      </c>
      <c r="E35" s="57" t="s">
        <v>71</v>
      </c>
      <c r="F35" s="57" t="str">
        <f t="shared" si="14"/>
        <v>LON</v>
      </c>
      <c r="G35" s="57" t="s">
        <v>76</v>
      </c>
      <c r="H35" s="57" t="str">
        <f t="shared" si="15"/>
        <v>LON+NYC</v>
      </c>
      <c r="I35" s="57" t="s">
        <v>76</v>
      </c>
      <c r="J35" s="57" t="str">
        <f>VLOOKUP(B35,FundingFx!$D$18:$E$19,2,FALSE)</f>
        <v>USD.LIBOR.3M</v>
      </c>
      <c r="K35" s="57" t="str">
        <f>IF(D35="Monthly",_xll.QIns_CreateMonthlyAsianSwap("Mswp0_"&amp;ROW(),C35,A35,B35,0,1,F35,H35,I35,"2b",,J35),_xll.QIns_CreateAsianSwap("Tswp0_"&amp;ROW(),C35,A35,B35,0,1,F35,H35,I35,"2b",,J35))</f>
        <v>Tswp0_35¬0</v>
      </c>
      <c r="L35" s="51">
        <f ca="1">_xll.QIns_ProductParRate(K35,MetalCurves!$AM$21)</f>
        <v>1904.544557823129</v>
      </c>
      <c r="M35" s="14">
        <v>32000</v>
      </c>
      <c r="N35" s="92">
        <v>135</v>
      </c>
      <c r="O35" s="57" t="str">
        <f>IF(D35="Monthly",_xll.QIns_CreateMonthlyAsianSwap("Mswp_"&amp;ROW(),C35,A35,B35,M35,N35,F35,H35,I35,"2b",,J35),_xll.QIns_CreateAsianSwap("Tswp_"&amp;ROW(),C35,A35,B35,M35,N35,F35,H35,I35,"2b",,J35))</f>
        <v>Tswp_35¬0</v>
      </c>
      <c r="P35" s="51">
        <f ca="1">_xll.QIns_ProductPV(O35,MetalCurves!$AM$21)</f>
        <v>-3993215.4294567876</v>
      </c>
      <c r="Q35" s="57" t="str">
        <f ca="1">_xll.QRisk_PortfolioDelta("delta_"&amp;ROW(),O35,MetalCurves!$AM$21)</f>
        <v>delta_35¬1</v>
      </c>
      <c r="R35" s="57" t="str">
        <f ca="1">_xll.QCube_AggregateCube("deltaAgg_"&amp;ROW(),Q35,"AssetId","Sum")</f>
        <v>deltaAgg_35¬1</v>
      </c>
      <c r="S35" s="53">
        <f ca="1">_xll.QCube_DisplayCubeValueForRow(R35,0)</f>
        <v>134.83334151175919</v>
      </c>
      <c r="T35" s="57" t="str">
        <f ca="1">_xll.QRisk_PortfolioFxDelta("fxdelta_"&amp;ROW(),O35,MetalCurves!$AM$21,"ZAR")</f>
        <v>fxdelta_35¬1</v>
      </c>
      <c r="U35" s="57" t="str">
        <f ca="1">_xll.QCube_AggregateCube("fxdeltaAgg_"&amp;ROW(),T35,"AssetId","Sum")</f>
        <v>fxdeltaAgg_35¬1</v>
      </c>
      <c r="V35" s="53">
        <f ca="1">_xll.QCube_DisplayCubeValueForRow(U35,0)</f>
        <v>-4003558.5068169842</v>
      </c>
    </row>
    <row r="36" spans="1:22" s="57" customFormat="1" x14ac:dyDescent="0.25">
      <c r="A36" s="57" t="s">
        <v>3</v>
      </c>
      <c r="B36" s="57" t="s">
        <v>26</v>
      </c>
      <c r="C36" s="48">
        <v>43709</v>
      </c>
      <c r="D36" s="57" t="s">
        <v>67</v>
      </c>
      <c r="E36" s="57" t="s">
        <v>71</v>
      </c>
      <c r="F36" s="57" t="str">
        <f t="shared" si="14"/>
        <v>LON</v>
      </c>
      <c r="G36" s="57" t="s">
        <v>76</v>
      </c>
      <c r="H36" s="57" t="str">
        <f t="shared" si="15"/>
        <v>LON+NYC</v>
      </c>
      <c r="I36" s="57" t="s">
        <v>76</v>
      </c>
      <c r="J36" s="57" t="str">
        <f>VLOOKUP(B36,FundingFx!$D$18:$E$19,2,FALSE)</f>
        <v>USD.LIBOR.3M</v>
      </c>
      <c r="K36" s="57" t="str">
        <f>IF(D36="Monthly",_xll.QIns_CreateMonthlyAsianSwap("Mswp0_"&amp;ROW(),C36,A36,B36,0,1,F36,H36,I36,"2b",,J36),_xll.QIns_CreateAsianSwap("Tswp0_"&amp;ROW(),C36,A36,B36,0,1,F36,H36,I36,"2b",,J36))</f>
        <v>Tswp0_36¬0</v>
      </c>
      <c r="L36" s="51">
        <f ca="1">_xll.QIns_ProductParRate(K36,MetalCurves!$AM$21)</f>
        <v>1912.172619047619</v>
      </c>
      <c r="M36" s="14">
        <v>32000</v>
      </c>
      <c r="N36" s="92">
        <v>135</v>
      </c>
      <c r="O36" s="57" t="str">
        <f>IF(D36="Monthly",_xll.QIns_CreateMonthlyAsianSwap("Mswp_"&amp;ROW(),C36,A36,B36,M36,N36,F36,H36,I36,"2b",,J36),_xll.QIns_CreateAsianSwap("Tswp_"&amp;ROW(),C36,A36,B36,M36,N36,F36,H36,I36,"2b",,J36))</f>
        <v>Tswp_36¬0</v>
      </c>
      <c r="P36" s="51">
        <f ca="1">_xll.QIns_ProductPV(O36,MetalCurves!$AM$21)</f>
        <v>-3983773.3730907426</v>
      </c>
      <c r="Q36" s="57" t="str">
        <f ca="1">_xll.QRisk_PortfolioDelta("delta_"&amp;ROW(),O36,MetalCurves!$AM$21)</f>
        <v>delta_36¬1</v>
      </c>
      <c r="R36" s="57" t="str">
        <f ca="1">_xll.QCube_AggregateCube("deltaAgg_"&amp;ROW(),Q36,"AssetId","Sum")</f>
        <v>deltaAgg_36¬1</v>
      </c>
      <c r="S36" s="53">
        <f ca="1">_xll.QCube_DisplayCubeValueForRow(R36,0)</f>
        <v>134.85741753959266</v>
      </c>
      <c r="T36" s="57" t="str">
        <f ca="1">_xll.QRisk_PortfolioFxDelta("fxdelta_"&amp;ROW(),O36,MetalCurves!$AM$21,"ZAR")</f>
        <v>fxdelta_36¬1</v>
      </c>
      <c r="U36" s="57" t="str">
        <f ca="1">_xll.QCube_AggregateCube("fxdeltaAgg_"&amp;ROW(),T36,"AssetId","Sum")</f>
        <v>fxdeltaAgg_36¬1</v>
      </c>
      <c r="V36" s="53">
        <f ca="1">_xll.QCube_DisplayCubeValueForRow(U36,0)</f>
        <v>-3994091.9939940302</v>
      </c>
    </row>
    <row r="37" spans="1:22" s="57" customFormat="1" x14ac:dyDescent="0.25">
      <c r="A37" s="57" t="s">
        <v>3</v>
      </c>
      <c r="B37" s="57" t="s">
        <v>26</v>
      </c>
      <c r="C37" s="48">
        <v>43739</v>
      </c>
      <c r="D37" s="57" t="s">
        <v>67</v>
      </c>
      <c r="E37" s="57" t="s">
        <v>71</v>
      </c>
      <c r="F37" s="57" t="str">
        <f t="shared" si="14"/>
        <v>LON</v>
      </c>
      <c r="G37" s="57" t="s">
        <v>76</v>
      </c>
      <c r="H37" s="57" t="str">
        <f t="shared" si="15"/>
        <v>LON+NYC</v>
      </c>
      <c r="I37" s="57" t="s">
        <v>76</v>
      </c>
      <c r="J37" s="57" t="str">
        <f>VLOOKUP(B37,FundingFx!$D$18:$E$19,2,FALSE)</f>
        <v>USD.LIBOR.3M</v>
      </c>
      <c r="K37" s="57" t="str">
        <f>IF(D37="Monthly",_xll.QIns_CreateMonthlyAsianSwap("Mswp0_"&amp;ROW(),C37,A37,B37,0,1,F37,H37,I37,"2b",,J37),_xll.QIns_CreateAsianSwap("Tswp0_"&amp;ROW(),C37,A37,B37,0,1,F37,H37,I37,"2b",,J37))</f>
        <v>Tswp0_37¬0</v>
      </c>
      <c r="L37" s="51">
        <f ca="1">_xll.QIns_ProductParRate(K37,MetalCurves!$AM$21)</f>
        <v>1919.1751552795031</v>
      </c>
      <c r="M37" s="14">
        <v>32000</v>
      </c>
      <c r="N37" s="92">
        <v>135</v>
      </c>
      <c r="O37" s="57" t="str">
        <f>IF(D37="Monthly",_xll.QIns_CreateMonthlyAsianSwap("Mswp_"&amp;ROW(),C37,A37,B37,M37,N37,F37,H37,I37,"2b",,J37),_xll.QIns_CreateAsianSwap("Tswp_"&amp;ROW(),C37,A37,B37,M37,N37,F37,H37,I37,"2b",,J37))</f>
        <v>Tswp_37¬0</v>
      </c>
      <c r="P37" s="51">
        <f ca="1">_xll.QIns_ProductPV(O37,MetalCurves!$AM$21)</f>
        <v>-3972926.1155533576</v>
      </c>
      <c r="Q37" s="57" t="str">
        <f ca="1">_xll.QRisk_PortfolioDelta("delta_"&amp;ROW(),O37,MetalCurves!$AM$21)</f>
        <v>delta_37¬1</v>
      </c>
      <c r="R37" s="57" t="str">
        <f ca="1">_xll.QCube_AggregateCube("deltaAgg_"&amp;ROW(),Q37,"AssetId","Sum")</f>
        <v>deltaAgg_37¬1</v>
      </c>
      <c r="S37" s="53">
        <f ca="1">_xll.QCube_DisplayCubeValueForRow(R37,0)</f>
        <v>134.83475483648937</v>
      </c>
      <c r="T37" s="57" t="str">
        <f ca="1">_xll.QRisk_PortfolioFxDelta("fxdelta_"&amp;ROW(),O37,MetalCurves!$AM$21,"ZAR")</f>
        <v>fxdelta_37¬1</v>
      </c>
      <c r="U37" s="57" t="str">
        <f ca="1">_xll.QCube_AggregateCube("fxdeltaAgg_"&amp;ROW(),T37,"AssetId","Sum")</f>
        <v>fxdeltaAgg_37¬1</v>
      </c>
      <c r="V37" s="53">
        <f ca="1">_xll.QCube_DisplayCubeValueForRow(U37,0)</f>
        <v>-3983216.6402903111</v>
      </c>
    </row>
    <row r="38" spans="1:22" s="57" customFormat="1" x14ac:dyDescent="0.25">
      <c r="A38" s="57" t="s">
        <v>3</v>
      </c>
      <c r="B38" s="57" t="s">
        <v>26</v>
      </c>
      <c r="C38" s="48">
        <v>43770</v>
      </c>
      <c r="D38" s="57" t="s">
        <v>67</v>
      </c>
      <c r="E38" s="57" t="s">
        <v>71</v>
      </c>
      <c r="F38" s="57" t="str">
        <f t="shared" si="14"/>
        <v>LON</v>
      </c>
      <c r="G38" s="57" t="s">
        <v>76</v>
      </c>
      <c r="H38" s="57" t="str">
        <f t="shared" si="15"/>
        <v>LON+NYC</v>
      </c>
      <c r="I38" s="57" t="s">
        <v>76</v>
      </c>
      <c r="J38" s="57" t="str">
        <f>VLOOKUP(B38,FundingFx!$D$18:$E$19,2,FALSE)</f>
        <v>USD.LIBOR.3M</v>
      </c>
      <c r="K38" s="57" t="str">
        <f>IF(D38="Monthly",_xll.QIns_CreateMonthlyAsianSwap("Mswp0_"&amp;ROW(),C38,A38,B38,0,1,F38,H38,I38,"2b",,J38),_xll.QIns_CreateAsianSwap("Tswp0_"&amp;ROW(),C38,A38,B38,0,1,F38,H38,I38,"2b",,J38))</f>
        <v>Tswp0_38¬0</v>
      </c>
      <c r="L38" s="51">
        <f ca="1">_xll.QIns_ProductParRate(K38,MetalCurves!$AM$21)</f>
        <v>1926.0343537414963</v>
      </c>
      <c r="M38" s="14">
        <v>32000</v>
      </c>
      <c r="N38" s="92">
        <v>135</v>
      </c>
      <c r="O38" s="57" t="str">
        <f>IF(D38="Monthly",_xll.QIns_CreateMonthlyAsianSwap("Mswp_"&amp;ROW(),C38,A38,B38,M38,N38,F38,H38,I38,"2b",,J38),_xll.QIns_CreateAsianSwap("Tswp_"&amp;ROW(),C38,A38,B38,M38,N38,F38,H38,I38,"2b",,J38))</f>
        <v>Tswp_38¬0</v>
      </c>
      <c r="P38" s="51">
        <f ca="1">_xll.QIns_ProductPV(O38,MetalCurves!$AM$21)</f>
        <v>-3963323.8869697372</v>
      </c>
      <c r="Q38" s="57" t="str">
        <f ca="1">_xll.QRisk_PortfolioDelta("delta_"&amp;ROW(),O38,MetalCurves!$AM$21)</f>
        <v>delta_38¬1</v>
      </c>
      <c r="R38" s="57" t="str">
        <f ca="1">_xll.QCube_AggregateCube("deltaAgg_"&amp;ROW(),Q38,"AssetId","Sum")</f>
        <v>deltaAgg_38¬2</v>
      </c>
      <c r="S38" s="53">
        <f ca="1">_xll.QCube_DisplayCubeValueForRow(R38,0)</f>
        <v>134.85343971283649</v>
      </c>
      <c r="T38" s="57" t="str">
        <f ca="1">_xll.QRisk_PortfolioFxDelta("fxdelta_"&amp;ROW(),O38,MetalCurves!$AM$21,"ZAR")</f>
        <v>fxdelta_38¬1</v>
      </c>
      <c r="U38" s="57" t="str">
        <f ca="1">_xll.QCube_AggregateCube("fxdeltaAgg_"&amp;ROW(),T38,"AssetId","Sum")</f>
        <v>fxdeltaAgg_38¬1</v>
      </c>
      <c r="V38" s="53">
        <f ca="1">_xll.QCube_DisplayCubeValueForRow(U38,0)</f>
        <v>-3973589.5403778758</v>
      </c>
    </row>
    <row r="39" spans="1:22" s="57" customFormat="1" x14ac:dyDescent="0.25">
      <c r="A39" s="57" t="s">
        <v>3</v>
      </c>
      <c r="B39" s="57" t="s">
        <v>26</v>
      </c>
      <c r="C39" s="48">
        <v>43800</v>
      </c>
      <c r="D39" s="57" t="s">
        <v>67</v>
      </c>
      <c r="E39" s="57" t="s">
        <v>71</v>
      </c>
      <c r="F39" s="57" t="str">
        <f t="shared" si="14"/>
        <v>LON</v>
      </c>
      <c r="G39" s="57" t="s">
        <v>76</v>
      </c>
      <c r="H39" s="57" t="str">
        <f t="shared" si="15"/>
        <v>LON+NYC</v>
      </c>
      <c r="I39" s="57" t="s">
        <v>76</v>
      </c>
      <c r="J39" s="57" t="str">
        <f>VLOOKUP(B39,FundingFx!$D$18:$E$19,2,FALSE)</f>
        <v>USD.LIBOR.3M</v>
      </c>
      <c r="K39" s="57" t="str">
        <f>IF(D39="Monthly",_xll.QIns_CreateMonthlyAsianSwap("Mswp0_"&amp;ROW(),C39,A39,B39,0,1,F39,H39,I39,"2b",,J39),_xll.QIns_CreateAsianSwap("Tswp0_"&amp;ROW(),C39,A39,B39,0,1,F39,H39,I39,"2b",,J39))</f>
        <v>Tswp0_39¬0</v>
      </c>
      <c r="L39" s="51">
        <f ca="1">_xll.QIns_ProductParRate(K39,MetalCurves!$AM$21)</f>
        <v>1931.5178571428573</v>
      </c>
      <c r="M39" s="14">
        <v>32000</v>
      </c>
      <c r="N39" s="92">
        <v>135</v>
      </c>
      <c r="O39" s="57" t="str">
        <f>IF(D39="Monthly",_xll.QIns_CreateMonthlyAsianSwap("Mswp_"&amp;ROW(),C39,A39,B39,M39,N39,F39,H39,I39,"2b",,J39),_xll.QIns_CreateAsianSwap("Tswp_"&amp;ROW(),C39,A39,B39,M39,N39,F39,H39,I39,"2b",,J39))</f>
        <v>Tswp_39¬0</v>
      </c>
      <c r="P39" s="51">
        <f ca="1">_xll.QIns_ProductPV(O39,MetalCurves!$AM$21)</f>
        <v>-3953285.212475488</v>
      </c>
      <c r="Q39" s="57" t="str">
        <f ca="1">_xll.QRisk_PortfolioDelta("delta_"&amp;ROW(),O39,MetalCurves!$AM$21)</f>
        <v>delta_39¬1</v>
      </c>
      <c r="R39" s="57" t="str">
        <f ca="1">_xll.QCube_AggregateCube("deltaAgg_"&amp;ROW(),Q39,"AssetId","Sum")</f>
        <v>deltaAgg_39¬3</v>
      </c>
      <c r="S39" s="53">
        <f ca="1">_xll.QCube_DisplayCubeValueForRow(R39,0)</f>
        <v>134.8368747523881</v>
      </c>
      <c r="T39" s="57" t="str">
        <f ca="1">_xll.QRisk_PortfolioFxDelta("fxdelta_"&amp;ROW(),O39,MetalCurves!$AM$21,"ZAR")</f>
        <v>fxdelta_39¬1</v>
      </c>
      <c r="U39" s="57" t="str">
        <f ca="1">_xll.QCube_AggregateCube("fxdeltaAgg_"&amp;ROW(),T39,"AssetId","Sum")</f>
        <v>fxdeltaAgg_39¬1</v>
      </c>
      <c r="V39" s="53">
        <f ca="1">_xll.QCube_DisplayCubeValueForRow(U39,0)</f>
        <v>-3963524.8640819206</v>
      </c>
    </row>
    <row r="41" spans="1:22" s="57" customFormat="1" x14ac:dyDescent="0.25">
      <c r="A41" s="57" t="s">
        <v>3</v>
      </c>
      <c r="B41" s="57" t="s">
        <v>26</v>
      </c>
      <c r="C41" s="48">
        <f>C52</f>
        <v>0</v>
      </c>
      <c r="D41" s="57" t="s">
        <v>67</v>
      </c>
      <c r="E41" s="57" t="s">
        <v>71</v>
      </c>
      <c r="F41" s="57" t="str">
        <f t="shared" ref="F41" si="16">"LON"&amp;IF(B41&lt;&gt;"USD","+"&amp;B41,"")</f>
        <v>LON</v>
      </c>
      <c r="G41" s="57" t="s">
        <v>76</v>
      </c>
      <c r="H41" s="57" t="str">
        <f t="shared" ref="H41" si="17">"LON+NYC"&amp;IF(B41&lt;&gt;"USD","+"&amp;B41,"")</f>
        <v>LON+NYC</v>
      </c>
      <c r="I41" s="57" t="s">
        <v>76</v>
      </c>
      <c r="J41" s="57" t="str">
        <f>VLOOKUP(B41,FundingFx!$D$18:$E$19,2,FALSE)</f>
        <v>USD.LIBOR.3M</v>
      </c>
      <c r="K41" s="57" t="str">
        <f>IF(D41="Monthly",_xll.QIns_CreateMonthlyAsianSwap("Mswp0_"&amp;ROW(),C41,A41,B41,0,1,F41,H41,I41,"2b",,J41),_xll.QIns_CreateAsianSwap("Tswp0_"&amp;ROW(),C41,A41,B41,0,1,F41,H41,I41,"2b",,J41))</f>
        <v>Tswp0_41¬0</v>
      </c>
      <c r="L41" s="51">
        <f ca="1">_xll.QIns_ProductParRate(K41,MetalCurves!$AM$21)</f>
        <v>8187.846273291927</v>
      </c>
      <c r="M41" s="14">
        <v>32000</v>
      </c>
      <c r="N41" s="92">
        <v>135</v>
      </c>
      <c r="O41" s="57" t="str">
        <f>IF(D41="Monthly",_xll.QIns_CreateMonthlyAsianSwap("Mswp_"&amp;ROW(),C41,A41,B41,M41,N41,F41,H41,I41,"2b",,J41),_xll.QIns_CreateAsianSwap("Tswp_"&amp;ROW(),C41,A41,B41,M41,N41,F41,H41,I41,"2b",,J41))</f>
        <v>Tswp_41¬0</v>
      </c>
      <c r="P41" s="51">
        <f ca="1">_xll.QIns_ProductPV(O41,MetalCurves!$AM$21)</f>
        <v>-46733.261024154621</v>
      </c>
      <c r="Q41" s="57" t="str">
        <f ca="1">_xll.QRisk_PortfolioDelta("delta_"&amp;ROW(),O41,MetalCurves!$AM$21)</f>
        <v>delta_41¬1</v>
      </c>
      <c r="R41" s="57" t="str">
        <f ca="1">_xll.QCube_AggregateCube("deltaAgg_"&amp;ROW(),Q41,"AssetId","Sum")</f>
        <v>deltaAgg_41¬2</v>
      </c>
      <c r="S41" s="53">
        <f ca="1">_xll.QCube_DisplayCubeValueForRow(R41,0)</f>
        <v>6.8376971627417333</v>
      </c>
      <c r="T41" s="57" t="str">
        <f ca="1">_xll.QRisk_PortfolioFxDelta("fxdelta_"&amp;ROW(),O41,MetalCurves!$AM$21,"ZAR")</f>
        <v>fxdelta_41¬1</v>
      </c>
      <c r="U41" s="57" t="str">
        <f ca="1">_xll.QCube_AggregateCube("fxdeltaAgg_"&amp;ROW(),T41,"AssetId","Sum")</f>
        <v>fxdeltaAgg_41¬1</v>
      </c>
      <c r="V41" s="53">
        <f ca="1">_xll.QCube_DisplayCubeValueForRow(U41,0)</f>
        <v>-46854.307770211431</v>
      </c>
    </row>
    <row r="42" spans="1:22" s="57" customFormat="1" x14ac:dyDescent="0.25">
      <c r="A42" s="57" t="s">
        <v>3</v>
      </c>
      <c r="B42" s="57" t="s">
        <v>26</v>
      </c>
      <c r="C42" s="48">
        <f t="shared" ref="C42:C51" si="18">C53</f>
        <v>0</v>
      </c>
      <c r="D42" s="57" t="s">
        <v>67</v>
      </c>
      <c r="E42" s="57" t="s">
        <v>71</v>
      </c>
      <c r="F42" s="57" t="str">
        <f t="shared" ref="F42:F50" si="19">"LON"&amp;IF(B42&lt;&gt;"USD","+"&amp;B42,"")</f>
        <v>LON</v>
      </c>
      <c r="G42" s="57" t="s">
        <v>76</v>
      </c>
      <c r="H42" s="57" t="str">
        <f t="shared" ref="H42:H50" si="20">"LON+NYC"&amp;IF(B42&lt;&gt;"USD","+"&amp;B42,"")</f>
        <v>LON+NYC</v>
      </c>
      <c r="I42" s="57" t="s">
        <v>76</v>
      </c>
      <c r="J42" s="57" t="str">
        <f>VLOOKUP(B42,FundingFx!$D$18:$E$19,2,FALSE)</f>
        <v>USD.LIBOR.3M</v>
      </c>
      <c r="K42" s="57" t="str">
        <f>IF(D42="Monthly",_xll.QIns_CreateMonthlyAsianSwap("Mswp0_"&amp;ROW(),C42,A42,B42,0,1,F42,H42,I42,"2b",,J42),_xll.QIns_CreateAsianSwap("Tswp0_"&amp;ROW(),C42,A42,B42,0,1,F42,H42,I42,"2b",,J42))</f>
        <v>Tswp0_42¬0</v>
      </c>
      <c r="L42" s="51">
        <f ca="1">_xll.QIns_ProductParRate(K42,MetalCurves!$AM$21)</f>
        <v>8187.846273291927</v>
      </c>
      <c r="M42" s="14">
        <v>32000</v>
      </c>
      <c r="N42" s="92">
        <v>135</v>
      </c>
      <c r="O42" s="57" t="str">
        <f>IF(D42="Monthly",_xll.QIns_CreateMonthlyAsianSwap("Mswp_"&amp;ROW(),C42,A42,B42,M42,N42,F42,H42,I42,"2b",,J42),_xll.QIns_CreateAsianSwap("Tswp_"&amp;ROW(),C42,A42,B42,M42,N42,F42,H42,I42,"2b",,J42))</f>
        <v>Tswp_42¬0</v>
      </c>
      <c r="P42" s="51">
        <f ca="1">_xll.QIns_ProductPV(O42,MetalCurves!$AM$21)</f>
        <v>-46733.261024154621</v>
      </c>
      <c r="Q42" s="57" t="str">
        <f ca="1">_xll.QRisk_PortfolioDelta("delta_"&amp;ROW(),O42,MetalCurves!$AM$21)</f>
        <v>delta_42¬1</v>
      </c>
      <c r="R42" s="57" t="str">
        <f ca="1">_xll.QCube_AggregateCube("deltaAgg_"&amp;ROW(),Q42,"AssetId","Sum")</f>
        <v>deltaAgg_42¬2</v>
      </c>
      <c r="S42" s="53">
        <f ca="1">_xll.QCube_DisplayCubeValueForRow(R42,0)</f>
        <v>6.8376971627417333</v>
      </c>
      <c r="T42" s="57" t="str">
        <f ca="1">_xll.QRisk_PortfolioFxDelta("fxdelta_"&amp;ROW(),O42,MetalCurves!$AM$21,"ZAR")</f>
        <v>fxdelta_42¬1</v>
      </c>
      <c r="U42" s="57" t="str">
        <f ca="1">_xll.QCube_AggregateCube("fxdeltaAgg_"&amp;ROW(),T42,"AssetId","Sum")</f>
        <v>fxdeltaAgg_42¬1</v>
      </c>
      <c r="V42" s="53">
        <f ca="1">_xll.QCube_DisplayCubeValueForRow(U42,0)</f>
        <v>-46854.307770211431</v>
      </c>
    </row>
    <row r="43" spans="1:22" s="57" customFormat="1" x14ac:dyDescent="0.25">
      <c r="A43" s="57" t="s">
        <v>3</v>
      </c>
      <c r="B43" s="57" t="s">
        <v>26</v>
      </c>
      <c r="C43" s="48">
        <f t="shared" si="18"/>
        <v>0</v>
      </c>
      <c r="D43" s="57" t="s">
        <v>67</v>
      </c>
      <c r="E43" s="57" t="s">
        <v>71</v>
      </c>
      <c r="F43" s="57" t="str">
        <f t="shared" si="19"/>
        <v>LON</v>
      </c>
      <c r="G43" s="57" t="s">
        <v>76</v>
      </c>
      <c r="H43" s="57" t="str">
        <f t="shared" si="20"/>
        <v>LON+NYC</v>
      </c>
      <c r="I43" s="57" t="s">
        <v>76</v>
      </c>
      <c r="J43" s="57" t="str">
        <f>VLOOKUP(B43,FundingFx!$D$18:$E$19,2,FALSE)</f>
        <v>USD.LIBOR.3M</v>
      </c>
      <c r="K43" s="57" t="str">
        <f>IF(D43="Monthly",_xll.QIns_CreateMonthlyAsianSwap("Mswp0_"&amp;ROW(),C43,A43,B43,0,1,F43,H43,I43,"2b",,J43),_xll.QIns_CreateAsianSwap("Tswp0_"&amp;ROW(),C43,A43,B43,0,1,F43,H43,I43,"2b",,J43))</f>
        <v>Tswp0_43¬0</v>
      </c>
      <c r="L43" s="51">
        <f ca="1">_xll.QIns_ProductParRate(K43,MetalCurves!$AM$21)</f>
        <v>8187.846273291927</v>
      </c>
      <c r="M43" s="14">
        <v>32000</v>
      </c>
      <c r="N43" s="92">
        <v>135</v>
      </c>
      <c r="O43" s="57" t="str">
        <f>IF(D43="Monthly",_xll.QIns_CreateMonthlyAsianSwap("Mswp_"&amp;ROW(),C43,A43,B43,M43,N43,F43,H43,I43,"2b",,J43),_xll.QIns_CreateAsianSwap("Tswp_"&amp;ROW(),C43,A43,B43,M43,N43,F43,H43,I43,"2b",,J43))</f>
        <v>Tswp_43¬0</v>
      </c>
      <c r="P43" s="51">
        <f ca="1">_xll.QIns_ProductPV(O43,MetalCurves!$AM$21)</f>
        <v>-46733.261024154621</v>
      </c>
      <c r="Q43" s="57" t="str">
        <f ca="1">_xll.QRisk_PortfolioDelta("delta_"&amp;ROW(),O43,MetalCurves!$AM$21)</f>
        <v>delta_43¬1</v>
      </c>
      <c r="R43" s="57" t="str">
        <f ca="1">_xll.QCube_AggregateCube("deltaAgg_"&amp;ROW(),Q43,"AssetId","Sum")</f>
        <v>deltaAgg_43¬2</v>
      </c>
      <c r="S43" s="53">
        <f ca="1">_xll.QCube_DisplayCubeValueForRow(R43,0)</f>
        <v>6.8376971627417333</v>
      </c>
      <c r="T43" s="57" t="str">
        <f ca="1">_xll.QRisk_PortfolioFxDelta("fxdelta_"&amp;ROW(),O43,MetalCurves!$AM$21,"ZAR")</f>
        <v>fxdelta_43¬1</v>
      </c>
      <c r="U43" s="57" t="str">
        <f ca="1">_xll.QCube_AggregateCube("fxdeltaAgg_"&amp;ROW(),T43,"AssetId","Sum")</f>
        <v>fxdeltaAgg_43¬1</v>
      </c>
      <c r="V43" s="53">
        <f ca="1">_xll.QCube_DisplayCubeValueForRow(U43,0)</f>
        <v>-46854.307770211431</v>
      </c>
    </row>
    <row r="44" spans="1:22" s="57" customFormat="1" x14ac:dyDescent="0.25">
      <c r="A44" s="57" t="s">
        <v>3</v>
      </c>
      <c r="B44" s="57" t="s">
        <v>26</v>
      </c>
      <c r="C44" s="48">
        <f t="shared" si="18"/>
        <v>0</v>
      </c>
      <c r="D44" s="57" t="s">
        <v>67</v>
      </c>
      <c r="E44" s="57" t="s">
        <v>71</v>
      </c>
      <c r="F44" s="57" t="str">
        <f t="shared" si="19"/>
        <v>LON</v>
      </c>
      <c r="G44" s="57" t="s">
        <v>76</v>
      </c>
      <c r="H44" s="57" t="str">
        <f t="shared" si="20"/>
        <v>LON+NYC</v>
      </c>
      <c r="I44" s="57" t="s">
        <v>76</v>
      </c>
      <c r="J44" s="57" t="str">
        <f>VLOOKUP(B44,FundingFx!$D$18:$E$19,2,FALSE)</f>
        <v>USD.LIBOR.3M</v>
      </c>
      <c r="K44" s="57" t="str">
        <f>IF(D44="Monthly",_xll.QIns_CreateMonthlyAsianSwap("Mswp0_"&amp;ROW(),C44,A44,B44,0,1,F44,H44,I44,"2b",,J44),_xll.QIns_CreateAsianSwap("Tswp0_"&amp;ROW(),C44,A44,B44,0,1,F44,H44,I44,"2b",,J44))</f>
        <v>Tswp0_44¬0</v>
      </c>
      <c r="L44" s="51">
        <f ca="1">_xll.QIns_ProductParRate(K44,MetalCurves!$AM$21)</f>
        <v>8187.846273291927</v>
      </c>
      <c r="M44" s="14">
        <v>32000</v>
      </c>
      <c r="N44" s="92">
        <v>135</v>
      </c>
      <c r="O44" s="57" t="str">
        <f>IF(D44="Monthly",_xll.QIns_CreateMonthlyAsianSwap("Mswp_"&amp;ROW(),C44,A44,B44,M44,N44,F44,H44,I44,"2b",,J44),_xll.QIns_CreateAsianSwap("Tswp_"&amp;ROW(),C44,A44,B44,M44,N44,F44,H44,I44,"2b",,J44))</f>
        <v>Tswp_44¬0</v>
      </c>
      <c r="P44" s="51">
        <f ca="1">_xll.QIns_ProductPV(O44,MetalCurves!$AM$21)</f>
        <v>-46733.261024154621</v>
      </c>
      <c r="Q44" s="57" t="str">
        <f ca="1">_xll.QRisk_PortfolioDelta("delta_"&amp;ROW(),O44,MetalCurves!$AM$21)</f>
        <v>delta_44¬1</v>
      </c>
      <c r="R44" s="57" t="str">
        <f ca="1">_xll.QCube_AggregateCube("deltaAgg_"&amp;ROW(),Q44,"AssetId","Sum")</f>
        <v>deltaAgg_44¬2</v>
      </c>
      <c r="S44" s="53">
        <f ca="1">_xll.QCube_DisplayCubeValueForRow(R44,0)</f>
        <v>6.8376971627417333</v>
      </c>
      <c r="T44" s="57" t="str">
        <f ca="1">_xll.QRisk_PortfolioFxDelta("fxdelta_"&amp;ROW(),O44,MetalCurves!$AM$21,"ZAR")</f>
        <v>fxdelta_44¬1</v>
      </c>
      <c r="U44" s="57" t="str">
        <f ca="1">_xll.QCube_AggregateCube("fxdeltaAgg_"&amp;ROW(),T44,"AssetId","Sum")</f>
        <v>fxdeltaAgg_44¬1</v>
      </c>
      <c r="V44" s="53">
        <f ca="1">_xll.QCube_DisplayCubeValueForRow(U44,0)</f>
        <v>-46854.307770211431</v>
      </c>
    </row>
    <row r="45" spans="1:22" s="57" customFormat="1" x14ac:dyDescent="0.25">
      <c r="A45" s="57" t="s">
        <v>3</v>
      </c>
      <c r="B45" s="57" t="s">
        <v>26</v>
      </c>
      <c r="C45" s="48">
        <f t="shared" si="18"/>
        <v>0</v>
      </c>
      <c r="D45" s="57" t="s">
        <v>67</v>
      </c>
      <c r="E45" s="57" t="s">
        <v>71</v>
      </c>
      <c r="F45" s="57" t="str">
        <f t="shared" si="19"/>
        <v>LON</v>
      </c>
      <c r="G45" s="57" t="s">
        <v>76</v>
      </c>
      <c r="H45" s="57" t="str">
        <f t="shared" si="20"/>
        <v>LON+NYC</v>
      </c>
      <c r="I45" s="57" t="s">
        <v>76</v>
      </c>
      <c r="J45" s="57" t="str">
        <f>VLOOKUP(B45,FundingFx!$D$18:$E$19,2,FALSE)</f>
        <v>USD.LIBOR.3M</v>
      </c>
      <c r="K45" s="57" t="str">
        <f>IF(D45="Monthly",_xll.QIns_CreateMonthlyAsianSwap("Mswp0_"&amp;ROW(),C45,A45,B45,0,1,F45,H45,I45,"2b",,J45),_xll.QIns_CreateAsianSwap("Tswp0_"&amp;ROW(),C45,A45,B45,0,1,F45,H45,I45,"2b",,J45))</f>
        <v>Tswp0_45¬0</v>
      </c>
      <c r="L45" s="51">
        <f ca="1">_xll.QIns_ProductParRate(K45,MetalCurves!$AM$21)</f>
        <v>8187.846273291927</v>
      </c>
      <c r="M45" s="14">
        <v>32000</v>
      </c>
      <c r="N45" s="92">
        <v>135</v>
      </c>
      <c r="O45" s="57" t="str">
        <f>IF(D45="Monthly",_xll.QIns_CreateMonthlyAsianSwap("Mswp_"&amp;ROW(),C45,A45,B45,M45,N45,F45,H45,I45,"2b",,J45),_xll.QIns_CreateAsianSwap("Tswp_"&amp;ROW(),C45,A45,B45,M45,N45,F45,H45,I45,"2b",,J45))</f>
        <v>Tswp_45¬0</v>
      </c>
      <c r="P45" s="51">
        <f ca="1">_xll.QIns_ProductPV(O45,MetalCurves!$AM$21)</f>
        <v>-46733.261024154621</v>
      </c>
      <c r="Q45" s="57" t="str">
        <f ca="1">_xll.QRisk_PortfolioDelta("delta_"&amp;ROW(),O45,MetalCurves!$AM$21)</f>
        <v>delta_45¬1</v>
      </c>
      <c r="R45" s="57" t="str">
        <f ca="1">_xll.QCube_AggregateCube("deltaAgg_"&amp;ROW(),Q45,"AssetId","Sum")</f>
        <v>deltaAgg_45¬2</v>
      </c>
      <c r="S45" s="53">
        <f ca="1">_xll.QCube_DisplayCubeValueForRow(R45,0)</f>
        <v>6.8376971627417333</v>
      </c>
      <c r="T45" s="57" t="str">
        <f ca="1">_xll.QRisk_PortfolioFxDelta("fxdelta_"&amp;ROW(),O45,MetalCurves!$AM$21,"ZAR")</f>
        <v>fxdelta_45¬1</v>
      </c>
      <c r="U45" s="57" t="str">
        <f ca="1">_xll.QCube_AggregateCube("fxdeltaAgg_"&amp;ROW(),T45,"AssetId","Sum")</f>
        <v>fxdeltaAgg_45¬1</v>
      </c>
      <c r="V45" s="53">
        <f ca="1">_xll.QCube_DisplayCubeValueForRow(U45,0)</f>
        <v>-46854.307770211431</v>
      </c>
    </row>
    <row r="46" spans="1:22" s="57" customFormat="1" x14ac:dyDescent="0.25">
      <c r="A46" s="57" t="s">
        <v>3</v>
      </c>
      <c r="B46" s="57" t="s">
        <v>26</v>
      </c>
      <c r="C46" s="48">
        <f t="shared" si="18"/>
        <v>0</v>
      </c>
      <c r="D46" s="57" t="s">
        <v>67</v>
      </c>
      <c r="E46" s="57" t="s">
        <v>71</v>
      </c>
      <c r="F46" s="57" t="str">
        <f t="shared" si="19"/>
        <v>LON</v>
      </c>
      <c r="G46" s="57" t="s">
        <v>76</v>
      </c>
      <c r="H46" s="57" t="str">
        <f t="shared" si="20"/>
        <v>LON+NYC</v>
      </c>
      <c r="I46" s="57" t="s">
        <v>76</v>
      </c>
      <c r="J46" s="57" t="str">
        <f>VLOOKUP(B46,FundingFx!$D$18:$E$19,2,FALSE)</f>
        <v>USD.LIBOR.3M</v>
      </c>
      <c r="K46" s="57" t="str">
        <f>IF(D46="Monthly",_xll.QIns_CreateMonthlyAsianSwap("Mswp0_"&amp;ROW(),C46,A46,B46,0,1,F46,H46,I46,"2b",,J46),_xll.QIns_CreateAsianSwap("Tswp0_"&amp;ROW(),C46,A46,B46,0,1,F46,H46,I46,"2b",,J46))</f>
        <v>Tswp0_46¬0</v>
      </c>
      <c r="L46" s="51">
        <f ca="1">_xll.QIns_ProductParRate(K46,MetalCurves!$AM$21)</f>
        <v>8187.846273291927</v>
      </c>
      <c r="M46" s="14">
        <v>32000</v>
      </c>
      <c r="N46" s="92">
        <v>135</v>
      </c>
      <c r="O46" s="57" t="str">
        <f>IF(D46="Monthly",_xll.QIns_CreateMonthlyAsianSwap("Mswp_"&amp;ROW(),C46,A46,B46,M46,N46,F46,H46,I46,"2b",,J46),_xll.QIns_CreateAsianSwap("Tswp_"&amp;ROW(),C46,A46,B46,M46,N46,F46,H46,I46,"2b",,J46))</f>
        <v>Tswp_46¬0</v>
      </c>
      <c r="P46" s="51">
        <f ca="1">_xll.QIns_ProductPV(O46,MetalCurves!$AM$21)</f>
        <v>-46733.261024154621</v>
      </c>
      <c r="Q46" s="57" t="str">
        <f ca="1">_xll.QRisk_PortfolioDelta("delta_"&amp;ROW(),O46,MetalCurves!$AM$21)</f>
        <v>delta_46¬1</v>
      </c>
      <c r="R46" s="57" t="str">
        <f ca="1">_xll.QCube_AggregateCube("deltaAgg_"&amp;ROW(),Q46,"AssetId","Sum")</f>
        <v>deltaAgg_46¬2</v>
      </c>
      <c r="S46" s="53">
        <f ca="1">_xll.QCube_DisplayCubeValueForRow(R46,0)</f>
        <v>6.8376971627417333</v>
      </c>
      <c r="T46" s="57" t="str">
        <f ca="1">_xll.QRisk_PortfolioFxDelta("fxdelta_"&amp;ROW(),O46,MetalCurves!$AM$21,"ZAR")</f>
        <v>fxdelta_46¬1</v>
      </c>
      <c r="U46" s="57" t="str">
        <f ca="1">_xll.QCube_AggregateCube("fxdeltaAgg_"&amp;ROW(),T46,"AssetId","Sum")</f>
        <v>fxdeltaAgg_46¬1</v>
      </c>
      <c r="V46" s="53">
        <f ca="1">_xll.QCube_DisplayCubeValueForRow(U46,0)</f>
        <v>-46854.307770211431</v>
      </c>
    </row>
    <row r="47" spans="1:22" s="57" customFormat="1" x14ac:dyDescent="0.25">
      <c r="A47" s="57" t="s">
        <v>3</v>
      </c>
      <c r="B47" s="57" t="s">
        <v>26</v>
      </c>
      <c r="C47" s="48">
        <f t="shared" si="18"/>
        <v>0</v>
      </c>
      <c r="D47" s="57" t="s">
        <v>67</v>
      </c>
      <c r="E47" s="57" t="s">
        <v>71</v>
      </c>
      <c r="F47" s="57" t="str">
        <f t="shared" si="19"/>
        <v>LON</v>
      </c>
      <c r="G47" s="57" t="s">
        <v>76</v>
      </c>
      <c r="H47" s="57" t="str">
        <f t="shared" si="20"/>
        <v>LON+NYC</v>
      </c>
      <c r="I47" s="57" t="s">
        <v>76</v>
      </c>
      <c r="J47" s="57" t="str">
        <f>VLOOKUP(B47,FundingFx!$D$18:$E$19,2,FALSE)</f>
        <v>USD.LIBOR.3M</v>
      </c>
      <c r="K47" s="57" t="str">
        <f>IF(D47="Monthly",_xll.QIns_CreateMonthlyAsianSwap("Mswp0_"&amp;ROW(),C47,A47,B47,0,1,F47,H47,I47,"2b",,J47),_xll.QIns_CreateAsianSwap("Tswp0_"&amp;ROW(),C47,A47,B47,0,1,F47,H47,I47,"2b",,J47))</f>
        <v>Tswp0_47¬0</v>
      </c>
      <c r="L47" s="51">
        <f ca="1">_xll.QIns_ProductParRate(K47,MetalCurves!$AM$21)</f>
        <v>8187.846273291927</v>
      </c>
      <c r="M47" s="14">
        <v>32000</v>
      </c>
      <c r="N47" s="92">
        <v>135</v>
      </c>
      <c r="O47" s="57" t="str">
        <f>IF(D47="Monthly",_xll.QIns_CreateMonthlyAsianSwap("Mswp_"&amp;ROW(),C47,A47,B47,M47,N47,F47,H47,I47,"2b",,J47),_xll.QIns_CreateAsianSwap("Tswp_"&amp;ROW(),C47,A47,B47,M47,N47,F47,H47,I47,"2b",,J47))</f>
        <v>Tswp_47¬0</v>
      </c>
      <c r="P47" s="51">
        <f ca="1">_xll.QIns_ProductPV(O47,MetalCurves!$AM$21)</f>
        <v>-46733.261024154621</v>
      </c>
      <c r="Q47" s="57" t="str">
        <f ca="1">_xll.QRisk_PortfolioDelta("delta_"&amp;ROW(),O47,MetalCurves!$AM$21)</f>
        <v>delta_47¬1</v>
      </c>
      <c r="R47" s="57" t="str">
        <f ca="1">_xll.QCube_AggregateCube("deltaAgg_"&amp;ROW(),Q47,"AssetId","Sum")</f>
        <v>deltaAgg_47¬2</v>
      </c>
      <c r="S47" s="53">
        <f ca="1">_xll.QCube_DisplayCubeValueForRow(R47,0)</f>
        <v>6.8376971627417333</v>
      </c>
      <c r="T47" s="57" t="str">
        <f ca="1">_xll.QRisk_PortfolioFxDelta("fxdelta_"&amp;ROW(),O47,MetalCurves!$AM$21,"ZAR")</f>
        <v>fxdelta_47¬1</v>
      </c>
      <c r="U47" s="57" t="str">
        <f ca="1">_xll.QCube_AggregateCube("fxdeltaAgg_"&amp;ROW(),T47,"AssetId","Sum")</f>
        <v>fxdeltaAgg_47¬1</v>
      </c>
      <c r="V47" s="53">
        <f ca="1">_xll.QCube_DisplayCubeValueForRow(U47,0)</f>
        <v>-46854.307770211431</v>
      </c>
    </row>
    <row r="48" spans="1:22" s="57" customFormat="1" x14ac:dyDescent="0.25">
      <c r="A48" s="57" t="s">
        <v>3</v>
      </c>
      <c r="B48" s="57" t="s">
        <v>26</v>
      </c>
      <c r="C48" s="48">
        <f t="shared" si="18"/>
        <v>0</v>
      </c>
      <c r="D48" s="57" t="s">
        <v>67</v>
      </c>
      <c r="E48" s="57" t="s">
        <v>71</v>
      </c>
      <c r="F48" s="57" t="str">
        <f t="shared" si="19"/>
        <v>LON</v>
      </c>
      <c r="G48" s="57" t="s">
        <v>76</v>
      </c>
      <c r="H48" s="57" t="str">
        <f t="shared" si="20"/>
        <v>LON+NYC</v>
      </c>
      <c r="I48" s="57" t="s">
        <v>76</v>
      </c>
      <c r="J48" s="57" t="str">
        <f>VLOOKUP(B48,FundingFx!$D$18:$E$19,2,FALSE)</f>
        <v>USD.LIBOR.3M</v>
      </c>
      <c r="K48" s="57" t="str">
        <f>IF(D48="Monthly",_xll.QIns_CreateMonthlyAsianSwap("Mswp0_"&amp;ROW(),C48,A48,B48,0,1,F48,H48,I48,"2b",,J48),_xll.QIns_CreateAsianSwap("Tswp0_"&amp;ROW(),C48,A48,B48,0,1,F48,H48,I48,"2b",,J48))</f>
        <v>Tswp0_48¬0</v>
      </c>
      <c r="L48" s="51">
        <f ca="1">_xll.QIns_ProductParRate(K48,MetalCurves!$AM$21)</f>
        <v>8187.846273291927</v>
      </c>
      <c r="M48" s="14">
        <v>32000</v>
      </c>
      <c r="N48" s="92">
        <v>135</v>
      </c>
      <c r="O48" s="57" t="str">
        <f>IF(D48="Monthly",_xll.QIns_CreateMonthlyAsianSwap("Mswp_"&amp;ROW(),C48,A48,B48,M48,N48,F48,H48,I48,"2b",,J48),_xll.QIns_CreateAsianSwap("Tswp_"&amp;ROW(),C48,A48,B48,M48,N48,F48,H48,I48,"2b",,J48))</f>
        <v>Tswp_48¬0</v>
      </c>
      <c r="P48" s="51">
        <f ca="1">_xll.QIns_ProductPV(O48,MetalCurves!$AM$21)</f>
        <v>-46733.261024154621</v>
      </c>
      <c r="Q48" s="57" t="str">
        <f ca="1">_xll.QRisk_PortfolioDelta("delta_"&amp;ROW(),O48,MetalCurves!$AM$21)</f>
        <v>delta_48¬1</v>
      </c>
      <c r="R48" s="57" t="str">
        <f ca="1">_xll.QCube_AggregateCube("deltaAgg_"&amp;ROW(),Q48,"AssetId","Sum")</f>
        <v>deltaAgg_48¬2</v>
      </c>
      <c r="S48" s="53">
        <f ca="1">_xll.QCube_DisplayCubeValueForRow(R48,0)</f>
        <v>6.8376971627417333</v>
      </c>
      <c r="T48" s="57" t="str">
        <f ca="1">_xll.QRisk_PortfolioFxDelta("fxdelta_"&amp;ROW(),O48,MetalCurves!$AM$21,"ZAR")</f>
        <v>fxdelta_48¬1</v>
      </c>
      <c r="U48" s="57" t="str">
        <f ca="1">_xll.QCube_AggregateCube("fxdeltaAgg_"&amp;ROW(),T48,"AssetId","Sum")</f>
        <v>fxdeltaAgg_48¬1</v>
      </c>
      <c r="V48" s="53">
        <f ca="1">_xll.QCube_DisplayCubeValueForRow(U48,0)</f>
        <v>-46854.307770211431</v>
      </c>
    </row>
    <row r="49" spans="1:22" s="57" customFormat="1" x14ac:dyDescent="0.25">
      <c r="A49" s="57" t="s">
        <v>3</v>
      </c>
      <c r="B49" s="57" t="s">
        <v>26</v>
      </c>
      <c r="C49" s="48">
        <f t="shared" si="18"/>
        <v>0</v>
      </c>
      <c r="D49" s="57" t="s">
        <v>67</v>
      </c>
      <c r="E49" s="57" t="s">
        <v>71</v>
      </c>
      <c r="F49" s="57" t="str">
        <f t="shared" si="19"/>
        <v>LON</v>
      </c>
      <c r="G49" s="57" t="s">
        <v>76</v>
      </c>
      <c r="H49" s="57" t="str">
        <f t="shared" si="20"/>
        <v>LON+NYC</v>
      </c>
      <c r="I49" s="57" t="s">
        <v>76</v>
      </c>
      <c r="J49" s="57" t="str">
        <f>VLOOKUP(B49,FundingFx!$D$18:$E$19,2,FALSE)</f>
        <v>USD.LIBOR.3M</v>
      </c>
      <c r="K49" s="57" t="str">
        <f>IF(D49="Monthly",_xll.QIns_CreateMonthlyAsianSwap("Mswp0_"&amp;ROW(),C49,A49,B49,0,1,F49,H49,I49,"2b",,J49),_xll.QIns_CreateAsianSwap("Tswp0_"&amp;ROW(),C49,A49,B49,0,1,F49,H49,I49,"2b",,J49))</f>
        <v>Tswp0_49¬0</v>
      </c>
      <c r="L49" s="51">
        <f ca="1">_xll.QIns_ProductParRate(K49,MetalCurves!$AM$21)</f>
        <v>8187.846273291927</v>
      </c>
      <c r="M49" s="14">
        <v>32000</v>
      </c>
      <c r="N49" s="92">
        <v>135</v>
      </c>
      <c r="O49" s="57" t="str">
        <f>IF(D49="Monthly",_xll.QIns_CreateMonthlyAsianSwap("Mswp_"&amp;ROW(),C49,A49,B49,M49,N49,F49,H49,I49,"2b",,J49),_xll.QIns_CreateAsianSwap("Tswp_"&amp;ROW(),C49,A49,B49,M49,N49,F49,H49,I49,"2b",,J49))</f>
        <v>Tswp_49¬0</v>
      </c>
      <c r="P49" s="51">
        <f ca="1">_xll.QIns_ProductPV(O49,MetalCurves!$AM$21)</f>
        <v>-46733.261024154621</v>
      </c>
      <c r="Q49" s="57" t="str">
        <f ca="1">_xll.QRisk_PortfolioDelta("delta_"&amp;ROW(),O49,MetalCurves!$AM$21)</f>
        <v>delta_49¬1</v>
      </c>
      <c r="R49" s="57" t="str">
        <f ca="1">_xll.QCube_AggregateCube("deltaAgg_"&amp;ROW(),Q49,"AssetId","Sum")</f>
        <v>deltaAgg_49¬1</v>
      </c>
      <c r="S49" s="53">
        <f ca="1">_xll.QCube_DisplayCubeValueForRow(R49,0)</f>
        <v>6.8376971627417333</v>
      </c>
      <c r="T49" s="57" t="str">
        <f ca="1">_xll.QRisk_PortfolioFxDelta("fxdelta_"&amp;ROW(),O49,MetalCurves!$AM$21,"ZAR")</f>
        <v>fxdelta_49¬1</v>
      </c>
      <c r="U49" s="57" t="str">
        <f ca="1">_xll.QCube_AggregateCube("fxdeltaAgg_"&amp;ROW(),T49,"AssetId","Sum")</f>
        <v>fxdeltaAgg_49¬1</v>
      </c>
      <c r="V49" s="53">
        <f ca="1">_xll.QCube_DisplayCubeValueForRow(U49,0)</f>
        <v>-46854.307770211431</v>
      </c>
    </row>
    <row r="50" spans="1:22" s="57" customFormat="1" x14ac:dyDescent="0.25">
      <c r="A50" s="57" t="s">
        <v>3</v>
      </c>
      <c r="B50" s="57" t="s">
        <v>26</v>
      </c>
      <c r="C50" s="48">
        <f t="shared" si="18"/>
        <v>0</v>
      </c>
      <c r="D50" s="57" t="s">
        <v>67</v>
      </c>
      <c r="E50" s="57" t="s">
        <v>71</v>
      </c>
      <c r="F50" s="57" t="str">
        <f t="shared" si="19"/>
        <v>LON</v>
      </c>
      <c r="G50" s="57" t="s">
        <v>76</v>
      </c>
      <c r="H50" s="57" t="str">
        <f t="shared" si="20"/>
        <v>LON+NYC</v>
      </c>
      <c r="I50" s="57" t="s">
        <v>76</v>
      </c>
      <c r="J50" s="57" t="str">
        <f>VLOOKUP(B50,FundingFx!$D$18:$E$19,2,FALSE)</f>
        <v>USD.LIBOR.3M</v>
      </c>
      <c r="K50" s="57" t="str">
        <f>IF(D50="Monthly",_xll.QIns_CreateMonthlyAsianSwap("Mswp0_"&amp;ROW(),C50,A50,B50,0,1,F50,H50,I50,"2b",,J50),_xll.QIns_CreateAsianSwap("Tswp0_"&amp;ROW(),C50,A50,B50,0,1,F50,H50,I50,"2b",,J50))</f>
        <v>Tswp0_50¬0</v>
      </c>
      <c r="L50" s="51">
        <f ca="1">_xll.QIns_ProductParRate(K50,MetalCurves!$AM$21)</f>
        <v>8187.846273291927</v>
      </c>
      <c r="M50" s="14">
        <v>32000</v>
      </c>
      <c r="N50" s="92">
        <v>135</v>
      </c>
      <c r="O50" s="57" t="str">
        <f>IF(D50="Monthly",_xll.QIns_CreateMonthlyAsianSwap("Mswp_"&amp;ROW(),C50,A50,B50,M50,N50,F50,H50,I50,"2b",,J50),_xll.QIns_CreateAsianSwap("Tswp_"&amp;ROW(),C50,A50,B50,M50,N50,F50,H50,I50,"2b",,J50))</f>
        <v>Tswp_50¬0</v>
      </c>
      <c r="P50" s="51">
        <f ca="1">_xll.QIns_ProductPV(O50,MetalCurves!$AM$21)</f>
        <v>-46733.261024154621</v>
      </c>
      <c r="Q50" s="57" t="str">
        <f ca="1">_xll.QRisk_PortfolioDelta("delta_"&amp;ROW(),O50,MetalCurves!$AM$21)</f>
        <v>delta_50¬1</v>
      </c>
      <c r="R50" s="57" t="str">
        <f ca="1">_xll.QCube_AggregateCube("deltaAgg_"&amp;ROW(),Q50,"AssetId","Sum")</f>
        <v>deltaAgg_50¬1</v>
      </c>
      <c r="S50" s="53">
        <f ca="1">_xll.QCube_DisplayCubeValueForRow(R50,0)</f>
        <v>6.8376971627417333</v>
      </c>
      <c r="T50" s="57" t="str">
        <f ca="1">_xll.QRisk_PortfolioFxDelta("fxdelta_"&amp;ROW(),O50,MetalCurves!$AM$21,"ZAR")</f>
        <v>fxdelta_50¬1</v>
      </c>
      <c r="U50" s="57" t="str">
        <f ca="1">_xll.QCube_AggregateCube("fxdeltaAgg_"&amp;ROW(),T50,"AssetId","Sum")</f>
        <v>fxdeltaAgg_50¬1</v>
      </c>
      <c r="V50" s="53">
        <f ca="1">_xll.QCube_DisplayCubeValueForRow(U50,0)</f>
        <v>-46854.307770211431</v>
      </c>
    </row>
    <row r="51" spans="1:22" s="57" customFormat="1" x14ac:dyDescent="0.25">
      <c r="A51" s="57" t="s">
        <v>3</v>
      </c>
      <c r="B51" s="57" t="s">
        <v>26</v>
      </c>
      <c r="C51" s="48">
        <f t="shared" si="18"/>
        <v>0</v>
      </c>
      <c r="D51" s="57" t="s">
        <v>67</v>
      </c>
      <c r="E51" s="57" t="s">
        <v>71</v>
      </c>
      <c r="F51" s="57" t="str">
        <f t="shared" ref="F51" si="21">"LON"&amp;IF(B51&lt;&gt;"USD","+"&amp;B51,"")</f>
        <v>LON</v>
      </c>
      <c r="G51" s="57" t="s">
        <v>76</v>
      </c>
      <c r="H51" s="57" t="str">
        <f t="shared" ref="H51" si="22">"LON+NYC"&amp;IF(B51&lt;&gt;"USD","+"&amp;B51,"")</f>
        <v>LON+NYC</v>
      </c>
      <c r="I51" s="57" t="s">
        <v>76</v>
      </c>
      <c r="J51" s="57" t="str">
        <f>VLOOKUP(B51,FundingFx!$D$18:$E$19,2,FALSE)</f>
        <v>USD.LIBOR.3M</v>
      </c>
      <c r="K51" s="57" t="str">
        <f>IF(D51="Monthly",_xll.QIns_CreateMonthlyAsianSwap("Mswp0_"&amp;ROW(),C51,A51,B51,0,1,F51,H51,I51,"2b",,J51),_xll.QIns_CreateAsianSwap("Tswp0_"&amp;ROW(),C51,A51,B51,0,1,F51,H51,I51,"2b",,J51))</f>
        <v>Tswp0_51¬0</v>
      </c>
      <c r="L51" s="51">
        <f ca="1">_xll.QIns_ProductParRate(K51,MetalCurves!$AM$21)</f>
        <v>8187.846273291927</v>
      </c>
      <c r="M51" s="14">
        <v>32000</v>
      </c>
      <c r="N51" s="92">
        <v>135</v>
      </c>
      <c r="O51" s="57" t="str">
        <f>IF(D51="Monthly",_xll.QIns_CreateMonthlyAsianSwap("Mswp_"&amp;ROW(),C51,A51,B51,M51,N51,F51,H51,I51,"2b",,J51),_xll.QIns_CreateAsianSwap("Tswp_"&amp;ROW(),C51,A51,B51,M51,N51,F51,H51,I51,"2b",,J51))</f>
        <v>Tswp_51¬0</v>
      </c>
      <c r="P51" s="51">
        <f ca="1">_xll.QIns_ProductPV(O51,MetalCurves!$AM$21)</f>
        <v>-46733.261024154621</v>
      </c>
      <c r="Q51" s="57" t="str">
        <f ca="1">_xll.QRisk_PortfolioDelta("delta_"&amp;ROW(),O51,MetalCurves!$AM$21)</f>
        <v>delta_51¬1</v>
      </c>
      <c r="R51" s="57" t="str">
        <f ca="1">_xll.QCube_AggregateCube("deltaAgg_"&amp;ROW(),Q51,"AssetId","Sum")</f>
        <v>deltaAgg_51¬1</v>
      </c>
      <c r="S51" s="53">
        <f ca="1">_xll.QCube_DisplayCubeValueForRow(R51,0)</f>
        <v>6.8376971627417333</v>
      </c>
      <c r="T51" s="57" t="str">
        <f ca="1">_xll.QRisk_PortfolioFxDelta("fxdelta_"&amp;ROW(),O51,MetalCurves!$AM$21,"ZAR")</f>
        <v>fxdelta_51¬1</v>
      </c>
      <c r="U51" s="57" t="str">
        <f ca="1">_xll.QCube_AggregateCube("fxdeltaAgg_"&amp;ROW(),T51,"AssetId","Sum")</f>
        <v>fxdeltaAgg_51¬1</v>
      </c>
      <c r="V51" s="53">
        <f ca="1">_xll.QCube_DisplayCubeValueForRow(U51,0)</f>
        <v>-46854.307770211431</v>
      </c>
    </row>
    <row r="52" spans="1:22" s="57" customFormat="1" x14ac:dyDescent="0.25">
      <c r="L52" s="52"/>
      <c r="N52" s="84"/>
      <c r="P52" s="52"/>
      <c r="S52" s="53"/>
      <c r="T52" s="52"/>
      <c r="U52" s="52"/>
      <c r="V52" s="53"/>
    </row>
    <row r="53" spans="1:22" s="57" customFormat="1" x14ac:dyDescent="0.25">
      <c r="L53" s="52"/>
      <c r="N53" s="84"/>
      <c r="P53" s="52"/>
      <c r="S53" s="53"/>
      <c r="T53" s="52"/>
      <c r="U53" s="52"/>
      <c r="V53" s="53"/>
    </row>
    <row r="54" spans="1:22" s="57" customFormat="1" x14ac:dyDescent="0.25">
      <c r="L54" s="52"/>
      <c r="N54" s="84"/>
      <c r="P54" s="52"/>
      <c r="S54" s="53"/>
      <c r="T54" s="52"/>
      <c r="U54" s="52"/>
      <c r="V54" s="53"/>
    </row>
    <row r="55" spans="1:22" s="57" customFormat="1" x14ac:dyDescent="0.25">
      <c r="L55" s="52"/>
      <c r="N55" s="84"/>
      <c r="P55" s="52"/>
      <c r="S55" s="53"/>
      <c r="T55" s="52"/>
      <c r="U55" s="52"/>
      <c r="V55" s="53"/>
    </row>
    <row r="56" spans="1:22" s="57" customFormat="1" x14ac:dyDescent="0.25">
      <c r="L56" s="52"/>
      <c r="N56" s="84"/>
      <c r="P56" s="52"/>
      <c r="S56" s="53"/>
      <c r="T56" s="52"/>
      <c r="U56" s="52"/>
      <c r="V56" s="53"/>
    </row>
    <row r="57" spans="1:22" s="57" customFormat="1" x14ac:dyDescent="0.25">
      <c r="L57" s="52"/>
      <c r="N57" s="84"/>
      <c r="P57" s="52"/>
      <c r="S57" s="53"/>
      <c r="T57" s="52"/>
      <c r="U57" s="52"/>
      <c r="V57" s="53"/>
    </row>
    <row r="58" spans="1:22" s="57" customFormat="1" x14ac:dyDescent="0.25">
      <c r="L58" s="52"/>
      <c r="N58" s="84"/>
      <c r="P58" s="52"/>
      <c r="S58" s="53"/>
      <c r="T58" s="52"/>
      <c r="U58" s="52"/>
      <c r="V58" s="53"/>
    </row>
    <row r="59" spans="1:22" s="57" customFormat="1" x14ac:dyDescent="0.25">
      <c r="L59" s="52"/>
      <c r="N59" s="84"/>
      <c r="P59" s="52"/>
      <c r="S59" s="53"/>
      <c r="T59" s="52"/>
      <c r="U59" s="52"/>
      <c r="V59" s="53"/>
    </row>
    <row r="60" spans="1:22" s="57" customFormat="1" x14ac:dyDescent="0.25">
      <c r="L60" s="52"/>
      <c r="N60" s="84"/>
      <c r="P60" s="52"/>
      <c r="S60" s="53"/>
      <c r="T60" s="52"/>
      <c r="U60" s="52"/>
      <c r="V60" s="53"/>
    </row>
    <row r="61" spans="1:22" s="57" customFormat="1" x14ac:dyDescent="0.25">
      <c r="L61" s="52"/>
      <c r="N61" s="84"/>
      <c r="P61" s="52"/>
      <c r="S61" s="53"/>
      <c r="T61" s="52"/>
      <c r="U61" s="52"/>
      <c r="V61" s="53"/>
    </row>
    <row r="62" spans="1:22" s="57" customFormat="1" x14ac:dyDescent="0.25">
      <c r="L62" s="52"/>
      <c r="N62" s="84"/>
      <c r="P62" s="52"/>
      <c r="S62" s="53"/>
      <c r="T62" s="52"/>
      <c r="U62" s="52"/>
      <c r="V62" s="53"/>
    </row>
    <row r="63" spans="1:22" s="57" customFormat="1" x14ac:dyDescent="0.25">
      <c r="L63" s="52"/>
      <c r="N63" s="84"/>
      <c r="P63" s="52"/>
      <c r="S63" s="53"/>
      <c r="T63" s="52"/>
      <c r="U63" s="52"/>
      <c r="V63" s="53"/>
    </row>
    <row r="64" spans="1:22" s="57" customFormat="1" x14ac:dyDescent="0.25">
      <c r="L64" s="52"/>
      <c r="N64" s="84"/>
      <c r="P64" s="52"/>
      <c r="S64" s="53"/>
      <c r="T64" s="52"/>
      <c r="U64" s="52"/>
      <c r="V64" s="53"/>
    </row>
    <row r="65" spans="12:22" s="57" customFormat="1" x14ac:dyDescent="0.25">
      <c r="L65" s="52"/>
      <c r="N65" s="84"/>
      <c r="P65" s="52"/>
      <c r="S65" s="53"/>
      <c r="T65" s="52"/>
      <c r="U65" s="52"/>
      <c r="V65" s="53"/>
    </row>
    <row r="66" spans="12:22" s="57" customFormat="1" x14ac:dyDescent="0.25">
      <c r="L66" s="52"/>
      <c r="N66" s="84"/>
      <c r="P66" s="52"/>
      <c r="S66" s="53"/>
      <c r="T66" s="52"/>
      <c r="U66" s="52"/>
      <c r="V66" s="53"/>
    </row>
    <row r="67" spans="12:22" s="57" customFormat="1" x14ac:dyDescent="0.25">
      <c r="L67" s="52"/>
      <c r="N67" s="84"/>
      <c r="P67" s="52"/>
      <c r="S67" s="53"/>
      <c r="T67" s="52"/>
      <c r="U67" s="52"/>
      <c r="V67" s="53"/>
    </row>
    <row r="68" spans="12:22" s="57" customFormat="1" x14ac:dyDescent="0.25">
      <c r="L68" s="52"/>
      <c r="N68" s="84"/>
      <c r="P68" s="52"/>
      <c r="S68" s="53"/>
      <c r="T68" s="52"/>
      <c r="U68" s="52"/>
      <c r="V68" s="53"/>
    </row>
    <row r="69" spans="12:22" s="57" customFormat="1" x14ac:dyDescent="0.25">
      <c r="L69" s="52"/>
      <c r="N69" s="84"/>
      <c r="P69" s="52"/>
      <c r="S69" s="53"/>
      <c r="T69" s="52"/>
      <c r="U69" s="52"/>
      <c r="V69" s="53"/>
    </row>
    <row r="70" spans="12:22" s="57" customFormat="1" x14ac:dyDescent="0.25">
      <c r="L70" s="52"/>
      <c r="N70" s="84"/>
      <c r="P70" s="52"/>
      <c r="S70" s="53"/>
      <c r="T70" s="52"/>
      <c r="U70" s="52"/>
      <c r="V70" s="53"/>
    </row>
    <row r="71" spans="12:22" s="57" customFormat="1" x14ac:dyDescent="0.25">
      <c r="L71" s="52"/>
      <c r="N71" s="84"/>
      <c r="P71" s="52"/>
      <c r="S71" s="53"/>
      <c r="T71" s="52"/>
      <c r="U71" s="52"/>
      <c r="V71" s="53"/>
    </row>
    <row r="72" spans="12:22" s="57" customFormat="1" x14ac:dyDescent="0.25">
      <c r="L72" s="52"/>
      <c r="N72" s="84"/>
      <c r="P72" s="52"/>
      <c r="S72" s="53"/>
      <c r="T72" s="52"/>
      <c r="U72" s="52"/>
      <c r="V72" s="53"/>
    </row>
    <row r="73" spans="12:22" s="57" customFormat="1" x14ac:dyDescent="0.25">
      <c r="L73" s="52"/>
      <c r="N73" s="84"/>
      <c r="P73" s="52"/>
      <c r="S73" s="53"/>
      <c r="T73" s="52"/>
      <c r="U73" s="52"/>
      <c r="V73" s="53"/>
    </row>
    <row r="74" spans="12:22" s="57" customFormat="1" x14ac:dyDescent="0.25">
      <c r="L74" s="52"/>
      <c r="N74" s="84"/>
      <c r="P74" s="52"/>
      <c r="S74" s="53"/>
      <c r="T74" s="52"/>
      <c r="U74" s="52"/>
      <c r="V74" s="53"/>
    </row>
    <row r="75" spans="12:22" s="57" customFormat="1" x14ac:dyDescent="0.25">
      <c r="L75" s="52"/>
      <c r="N75" s="84"/>
      <c r="P75" s="52"/>
      <c r="S75" s="53"/>
      <c r="T75" s="52"/>
      <c r="U75" s="52"/>
      <c r="V75" s="53"/>
    </row>
    <row r="76" spans="12:22" s="57" customFormat="1" x14ac:dyDescent="0.25">
      <c r="L76" s="52"/>
      <c r="N76" s="84"/>
      <c r="P76" s="52"/>
      <c r="S76" s="53"/>
      <c r="T76" s="52"/>
      <c r="U76" s="52"/>
      <c r="V76" s="53"/>
    </row>
    <row r="77" spans="12:22" s="57" customFormat="1" x14ac:dyDescent="0.25">
      <c r="L77" s="52"/>
      <c r="N77" s="84"/>
      <c r="P77" s="52"/>
      <c r="S77" s="53"/>
      <c r="T77" s="52"/>
      <c r="U77" s="52"/>
      <c r="V77" s="53"/>
    </row>
    <row r="78" spans="12:22" s="57" customFormat="1" x14ac:dyDescent="0.25">
      <c r="L78" s="52"/>
      <c r="N78" s="84"/>
      <c r="P78" s="52"/>
      <c r="S78" s="53"/>
      <c r="T78" s="52"/>
      <c r="U78" s="52"/>
      <c r="V78" s="53"/>
    </row>
    <row r="79" spans="12:22" s="57" customFormat="1" x14ac:dyDescent="0.25">
      <c r="L79" s="52"/>
      <c r="N79" s="84"/>
      <c r="P79" s="52"/>
      <c r="S79" s="53"/>
      <c r="T79" s="52"/>
      <c r="U79" s="52"/>
      <c r="V79" s="53"/>
    </row>
    <row r="80" spans="12:22" s="57" customFormat="1" x14ac:dyDescent="0.25">
      <c r="L80" s="52"/>
      <c r="N80" s="84"/>
      <c r="P80" s="52"/>
      <c r="S80" s="53"/>
      <c r="T80" s="52"/>
      <c r="U80" s="52"/>
      <c r="V80" s="53"/>
    </row>
    <row r="81" spans="12:22" s="57" customFormat="1" x14ac:dyDescent="0.25">
      <c r="L81" s="52"/>
      <c r="N81" s="84"/>
      <c r="P81" s="52"/>
      <c r="S81" s="53"/>
      <c r="T81" s="52"/>
      <c r="U81" s="52"/>
      <c r="V81" s="53"/>
    </row>
    <row r="82" spans="12:22" s="57" customFormat="1" x14ac:dyDescent="0.25">
      <c r="L82" s="52"/>
      <c r="N82" s="84"/>
      <c r="P82" s="52"/>
      <c r="S82" s="53"/>
      <c r="T82" s="52"/>
      <c r="U82" s="52"/>
      <c r="V82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288D17D-00E5-4772-802C-69AE5426AC7E}">
          <x14:formula1>
            <xm:f>MetalCurves!$BB$2:$BB$3</xm:f>
          </x14:formula1>
          <xm:sqref>D28:D39 D41:D51 D2:D26</xm:sqref>
        </x14:dataValidation>
        <x14:dataValidation type="list" allowBlank="1" showInputMessage="1" showErrorMessage="1" xr:uid="{2FD58817-50BC-44FA-B18D-0339F3D86E1F}">
          <x14:formula1>
            <xm:f>FundingFx!$D$18:$D$19</xm:f>
          </x14:formula1>
          <xm:sqref>B28:B39 B41:B51 B2:B26</xm:sqref>
        </x14:dataValidation>
        <x14:dataValidation type="list" allowBlank="1" showInputMessage="1" showErrorMessage="1" xr:uid="{B9FBC5FF-BA84-4815-8599-577F8482B76F}">
          <x14:formula1>
            <xm:f>MetalCurves!$BC$2:$BC$4</xm:f>
          </x14:formula1>
          <xm:sqref>E28:E39 E41:E51 E2:E26</xm:sqref>
        </x14:dataValidation>
        <x14:dataValidation type="list" allowBlank="1" showInputMessage="1" showErrorMessage="1" xr:uid="{3CCD1B50-09D5-4259-A955-E1A18323F440}">
          <x14:formula1>
            <xm:f>MetalCurves!$BD$2:$BD$3</xm:f>
          </x14:formula1>
          <xm:sqref>G28:G39 G41:G51 G2:G26</xm:sqref>
        </x14:dataValidation>
        <x14:dataValidation type="list" allowBlank="1" showInputMessage="1" showErrorMessage="1" xr:uid="{BEF7351E-0217-42DD-A692-681E5C20CD97}">
          <x14:formula1>
            <xm:f>MetalCurves!$AZ$2:$AZ$7</xm:f>
          </x14:formula1>
          <xm:sqref>A28:A39 A2:A26 A41:A51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D144-790A-4C7E-A2B7-541E31A4C711}">
  <sheetPr codeName="Sheet4"/>
  <dimension ref="A1:V33"/>
  <sheetViews>
    <sheetView workbookViewId="0">
      <selection activeCell="H26" sqref="H26"/>
    </sheetView>
  </sheetViews>
  <sheetFormatPr defaultRowHeight="15" outlineLevelCol="1" x14ac:dyDescent="0.25"/>
  <cols>
    <col min="1" max="2" width="9.140625" style="57"/>
    <col min="3" max="3" width="10.5703125" style="57" customWidth="1"/>
    <col min="4" max="4" width="14.28515625" style="57" bestFit="1" customWidth="1"/>
    <col min="5" max="5" width="9.140625" style="57"/>
    <col min="6" max="6" width="12.28515625" style="57" customWidth="1"/>
    <col min="7" max="7" width="9.140625" style="57" bestFit="1" customWidth="1"/>
    <col min="8" max="8" width="14.85546875" style="57" bestFit="1" customWidth="1"/>
    <col min="9" max="9" width="10.7109375" style="57" bestFit="1" customWidth="1"/>
    <col min="10" max="10" width="13.7109375" style="57" bestFit="1" customWidth="1"/>
    <col min="11" max="11" width="9.140625" style="57" hidden="1" customWidth="1"/>
    <col min="12" max="12" width="13.28515625" style="52" bestFit="1" customWidth="1"/>
    <col min="13" max="13" width="10.5703125" style="57" bestFit="1" customWidth="1"/>
    <col min="14" max="14" width="10.42578125" style="57" bestFit="1" customWidth="1"/>
    <col min="15" max="15" width="9.140625" style="57" hidden="1" customWidth="1" outlineLevel="1"/>
    <col min="16" max="16" width="16" style="52" customWidth="1" collapsed="1"/>
    <col min="17" max="17" width="10.85546875" style="57" customWidth="1" outlineLevel="1"/>
    <col min="18" max="18" width="14.140625" style="57" customWidth="1" outlineLevel="1"/>
    <col min="19" max="19" width="9.140625" style="53"/>
    <col min="20" max="21" width="9.140625" style="52" hidden="1" customWidth="1" outlineLevel="1"/>
    <col min="22" max="22" width="11.28515625" style="53" customWidth="1" collapsed="1"/>
    <col min="23" max="16384" width="9.140625" style="57"/>
  </cols>
  <sheetData>
    <row r="1" spans="1:22" s="50" customFormat="1" x14ac:dyDescent="0.25">
      <c r="A1" s="49" t="s">
        <v>44</v>
      </c>
      <c r="B1" s="49" t="s">
        <v>69</v>
      </c>
      <c r="C1" s="49" t="s">
        <v>83</v>
      </c>
      <c r="D1" s="49" t="s">
        <v>84</v>
      </c>
      <c r="E1" s="49" t="s">
        <v>70</v>
      </c>
      <c r="F1" s="49" t="s">
        <v>74</v>
      </c>
      <c r="G1" s="49" t="s">
        <v>78</v>
      </c>
      <c r="H1" s="49" t="s">
        <v>75</v>
      </c>
      <c r="I1" s="49" t="s">
        <v>65</v>
      </c>
      <c r="J1" s="49" t="s">
        <v>77</v>
      </c>
      <c r="K1" s="49" t="s">
        <v>68</v>
      </c>
      <c r="L1" s="49" t="s">
        <v>138</v>
      </c>
      <c r="M1" s="49" t="s">
        <v>42</v>
      </c>
      <c r="N1" s="49" t="s">
        <v>64</v>
      </c>
      <c r="O1" s="49" t="s">
        <v>68</v>
      </c>
      <c r="P1" s="49" t="s">
        <v>45</v>
      </c>
      <c r="Q1" s="49" t="s">
        <v>68</v>
      </c>
      <c r="R1" s="49" t="s">
        <v>68</v>
      </c>
      <c r="S1" s="54" t="s">
        <v>46</v>
      </c>
      <c r="T1" s="49" t="s">
        <v>68</v>
      </c>
      <c r="U1" s="49" t="s">
        <v>68</v>
      </c>
      <c r="V1" s="54" t="s">
        <v>52</v>
      </c>
    </row>
    <row r="2" spans="1:22" x14ac:dyDescent="0.25">
      <c r="A2" s="57" t="s">
        <v>3</v>
      </c>
      <c r="B2" s="57" t="s">
        <v>25</v>
      </c>
      <c r="C2" s="48"/>
      <c r="D2" s="48"/>
      <c r="E2" s="57" t="s">
        <v>71</v>
      </c>
      <c r="F2" s="57" t="str">
        <f>"LON"&amp;IF(B2&lt;&gt;"USD","+"&amp;B2,"")</f>
        <v>LON+ZAR</v>
      </c>
      <c r="G2" s="57" t="s">
        <v>10</v>
      </c>
      <c r="H2" s="57" t="str">
        <f>"LON+NYC"&amp;IF(B2&lt;&gt;"USD","+"&amp;B2,"")</f>
        <v>LON+NYC+ZAR</v>
      </c>
      <c r="I2" s="57" t="s">
        <v>76</v>
      </c>
      <c r="J2" s="57" t="str">
        <f>VLOOKUP(B2,FundingFx!$D$18:$E$19,2,FALSE)</f>
        <v>ZAR.DISC.[USD.LIBOR.3M]</v>
      </c>
      <c r="K2" s="57" t="str">
        <f ca="1">_xll.QIns_CreateCustomAsianSwap("Custom0",C3:D20,A2,B2,0,N3:N20,F2,H2,I2,G2,,J2)</f>
        <v>Custom0¬1</v>
      </c>
      <c r="L2" s="51">
        <f ca="1">_xll.QIns_ProductParRate(K2,MetalCurves!$AM$21)</f>
        <v>26507.154032615803</v>
      </c>
      <c r="M2" s="14">
        <v>30000</v>
      </c>
      <c r="N2" s="3"/>
      <c r="O2" s="57" t="str">
        <f ca="1">_xll.QIns_CreateCustomAsianSwap("Custom1",C3:D20,A2,B2,M2,N3:N20,F2,H2,I2,G2,,J2)</f>
        <v>Custom1¬1</v>
      </c>
      <c r="P2" s="51">
        <f ca="1">_xll.QIns_ProductPV(O2,MetalCurves!$AM$21)</f>
        <v>-53639237.877256602</v>
      </c>
      <c r="Q2" s="57" t="str">
        <f ca="1">_xll.QRisk_PortfolioDelta("Cdelta_"&amp;ROW(),O2,MetalCurves!$AM$21)</f>
        <v>Cdelta_2¬1</v>
      </c>
      <c r="R2" s="57" t="str">
        <f ca="1">_xll.QCube_AggregateCube("CdeltaAgg_"&amp;ROW(),Q2,"AssetId","Sum")</f>
        <v>CdeltaAgg_2¬1</v>
      </c>
      <c r="S2" s="53">
        <f ca="1">_xll.QCube_DisplayCubeValueForRow(R2,0)</f>
        <v>15704.522225090344</v>
      </c>
      <c r="T2" s="57" t="str">
        <f ca="1">_xll.QRisk_PortfolioFxDelta("fxdelta_"&amp;ROW(),O2,MetalCurves!$AM$21,"ZAR")</f>
        <v>fxdelta_2¬2</v>
      </c>
      <c r="U2" s="57" t="str">
        <f ca="1">_xll.QCube_AggregateCube("fxdeltaAgg_"&amp;ROW(),T2,"AssetId","Sum")</f>
        <v>fxdeltaAgg_2¬2</v>
      </c>
      <c r="V2" s="53">
        <f ca="1">_xll.QCube_DisplayCubeValueForRow(U2,0)</f>
        <v>29508111.341394931</v>
      </c>
    </row>
    <row r="3" spans="1:22" x14ac:dyDescent="0.25">
      <c r="A3" s="52" t="str">
        <f>$A$2</f>
        <v>AH</v>
      </c>
      <c r="B3" s="52" t="str">
        <f>$B$2</f>
        <v>ZAR</v>
      </c>
      <c r="C3" s="1">
        <f ca="1">EDATE(TODAY(),1)</f>
        <v>43514</v>
      </c>
      <c r="D3" s="1">
        <f ca="1">C3</f>
        <v>43514</v>
      </c>
      <c r="E3" s="52" t="str">
        <f>$E$2</f>
        <v>ATC</v>
      </c>
      <c r="F3" s="52" t="str">
        <f>$F$2</f>
        <v>LON+ZAR</v>
      </c>
      <c r="G3" s="52" t="str">
        <f>$G$2</f>
        <v>3m</v>
      </c>
      <c r="H3" s="52" t="str">
        <f>$H$2</f>
        <v>LON+NYC+ZAR</v>
      </c>
      <c r="I3" s="52" t="str">
        <f>$I$2</f>
        <v>2b</v>
      </c>
      <c r="J3" s="52" t="str">
        <f>$J$2</f>
        <v>ZAR.DISC.[USD.LIBOR.3M]</v>
      </c>
      <c r="K3" s="57" t="str">
        <f ca="1">IF(C3&lt;&gt;"",_xll.QIns_CreateAsianSwap("Cswp0_"&amp;ROW(),C3:D3,A3,B3,0,1,F3,H3,I3,"2b",,J3),"")</f>
        <v>Cswp0_3¬1</v>
      </c>
      <c r="L3" s="51">
        <f ca="1">IF(C3&lt;&gt;"",_xll.QIns_ProductParRate(K3,MetalCurves!$AM$21),"")</f>
        <v>25797.963930798956</v>
      </c>
      <c r="M3" s="56">
        <f t="shared" ref="M3:M20" si="0">$M$2</f>
        <v>30000</v>
      </c>
      <c r="N3" s="92">
        <v>2600</v>
      </c>
      <c r="O3" s="57" t="str">
        <f ca="1">IF(C3&lt;&gt;"",_xll.QIns_CreateAsianSwap("Cswp_"&amp;ROW(),C3:D3,A3,B3,M3,N3,F3,H3,I3,G3,,J3),"")</f>
        <v>Cswp_3¬1</v>
      </c>
      <c r="P3" s="51">
        <f ca="1">_xll.QIns_ProductPV(O3,MetalCurves!$AM$21)</f>
        <v>-10378000.80106226</v>
      </c>
      <c r="Q3" s="57" t="str">
        <f ca="1">_xll.QRisk_PortfolioDelta("Cdelta_"&amp;ROW(),O3,MetalCurves!$AM$21)</f>
        <v>Cdelta_3¬1</v>
      </c>
      <c r="R3" s="57" t="str">
        <f ca="1">_xll.QCube_AggregateCube("CdeltaAgg_"&amp;ROW(),Q3,"AssetId","Sum")</f>
        <v>CdeltaAgg_3¬1</v>
      </c>
      <c r="S3" s="53">
        <f ca="1">_xll.QCube_DisplayCubeValueForRow(R3,0)</f>
        <v>2617.527886334603</v>
      </c>
      <c r="T3" s="57" t="str">
        <f ca="1">_xll.QRisk_PortfolioFxDelta("fxdelta_"&amp;ROW(),O3,MetalCurves!$AM$21,"ZAR")</f>
        <v>fxdelta_3¬2</v>
      </c>
      <c r="U3" s="57" t="str">
        <f ca="1">_xll.QCube_AggregateCube("fxdeltaAgg_"&amp;ROW(),T3,"AssetId","Sum")</f>
        <v>fxdeltaAgg_3¬2</v>
      </c>
      <c r="V3" s="53">
        <f ca="1">_xll.QCube_DisplayCubeValueForRow(U3,0)</f>
        <v>4896421.2875924427</v>
      </c>
    </row>
    <row r="4" spans="1:22" x14ac:dyDescent="0.25">
      <c r="A4" s="52" t="str">
        <f t="shared" ref="A4:A20" si="1">$A$2</f>
        <v>AH</v>
      </c>
      <c r="B4" s="52" t="str">
        <f t="shared" ref="B4:B20" si="2">$B$2</f>
        <v>ZAR</v>
      </c>
      <c r="C4" s="1">
        <f ca="1">EDATE(C3,1)</f>
        <v>43542</v>
      </c>
      <c r="D4" s="1">
        <f ca="1">C4</f>
        <v>43542</v>
      </c>
      <c r="E4" s="52" t="str">
        <f t="shared" ref="E4:E20" si="3">$E$2</f>
        <v>ATC</v>
      </c>
      <c r="F4" s="52" t="str">
        <f t="shared" ref="F4:F20" si="4">$F$2</f>
        <v>LON+ZAR</v>
      </c>
      <c r="G4" s="52" t="str">
        <f t="shared" ref="G4:G20" si="5">$G$2</f>
        <v>3m</v>
      </c>
      <c r="H4" s="52" t="str">
        <f t="shared" ref="H4:H20" si="6">$H$2</f>
        <v>LON+NYC+ZAR</v>
      </c>
      <c r="I4" s="52" t="str">
        <f t="shared" ref="I4:I20" si="7">$I$2</f>
        <v>2b</v>
      </c>
      <c r="J4" s="52" t="str">
        <f t="shared" ref="J4:J20" si="8">$J$2</f>
        <v>ZAR.DISC.[USD.LIBOR.3M]</v>
      </c>
      <c r="K4" s="57" t="str">
        <f ca="1">IF(C4&lt;&gt;"",_xll.QIns_CreateAsianSwap("Cswp0_"&amp;ROW(),C4:D4,A4,B4,0,1,F4,H4,I4,"2b",,J4),"")</f>
        <v>Cswp0_4¬1</v>
      </c>
      <c r="L4" s="51">
        <f ca="1">IF(C4&lt;&gt;"",_xll.QIns_ProductParRate(K4,MetalCurves!$AM$21),"")</f>
        <v>26007.907999184765</v>
      </c>
      <c r="M4" s="56">
        <f t="shared" si="0"/>
        <v>30000</v>
      </c>
      <c r="N4" s="92">
        <v>2600</v>
      </c>
      <c r="O4" s="57" t="str">
        <f ca="1">IF(C4&lt;&gt;"",_xll.QIns_CreateAsianSwap("Cswp_"&amp;ROW(),C4:D4,A4,B4,M4,N4,F4,H4,I4,G4,,J4),"")</f>
        <v>Cswp_4¬1</v>
      </c>
      <c r="P4" s="51">
        <f ca="1">_xll.QIns_ProductPV(O4,MetalCurves!$AM$21)</f>
        <v>-9733415.3808881547</v>
      </c>
      <c r="Q4" s="57" t="str">
        <f ca="1">_xll.QRisk_PortfolioDelta("Cdelta_"&amp;ROW(),O4,MetalCurves!$AM$21)</f>
        <v>Cdelta_4¬1</v>
      </c>
      <c r="R4" s="57" t="str">
        <f ca="1">_xll.QCube_AggregateCube("CdeltaAgg_"&amp;ROW(),Q4,"AssetId","Sum")</f>
        <v>CdeltaAgg_4¬1</v>
      </c>
      <c r="S4" s="53">
        <f ca="1">_xll.QCube_DisplayCubeValueForRow(R4,0)</f>
        <v>2617.4591729020608</v>
      </c>
      <c r="T4" s="57" t="str">
        <f ca="1">_xll.QRisk_PortfolioFxDelta("fxdelta_"&amp;ROW(),O4,MetalCurves!$AM$21,"ZAR")</f>
        <v>fxdelta_4¬2</v>
      </c>
      <c r="U4" s="57" t="str">
        <f ca="1">_xll.QCube_AggregateCube("fxdeltaAgg_"&amp;ROW(),T4,"AssetId","Sum")</f>
        <v>fxdeltaAgg_4¬2</v>
      </c>
      <c r="V4" s="53">
        <f ca="1">_xll.QCube_DisplayCubeValueForRow(U4,0)</f>
        <v>4911705.4953091247</v>
      </c>
    </row>
    <row r="5" spans="1:22" x14ac:dyDescent="0.25">
      <c r="A5" s="52" t="str">
        <f t="shared" si="1"/>
        <v>AH</v>
      </c>
      <c r="B5" s="52" t="str">
        <f t="shared" si="2"/>
        <v>ZAR</v>
      </c>
      <c r="C5" s="1">
        <f t="shared" ref="C5:C8" ca="1" si="9">EDATE(C4,1)</f>
        <v>43573</v>
      </c>
      <c r="D5" s="1">
        <f t="shared" ref="D5:D8" ca="1" si="10">C5</f>
        <v>43573</v>
      </c>
      <c r="E5" s="52" t="str">
        <f t="shared" si="3"/>
        <v>ATC</v>
      </c>
      <c r="F5" s="52" t="str">
        <f t="shared" si="4"/>
        <v>LON+ZAR</v>
      </c>
      <c r="G5" s="52" t="str">
        <f t="shared" si="5"/>
        <v>3m</v>
      </c>
      <c r="H5" s="52" t="str">
        <f t="shared" si="6"/>
        <v>LON+NYC+ZAR</v>
      </c>
      <c r="I5" s="52" t="str">
        <f t="shared" si="7"/>
        <v>2b</v>
      </c>
      <c r="J5" s="52" t="str">
        <f t="shared" si="8"/>
        <v>ZAR.DISC.[USD.LIBOR.3M]</v>
      </c>
      <c r="K5" s="57" t="str">
        <f ca="1">IF(C5&lt;&gt;"",_xll.QIns_CreateAsianSwap("Cswp0_"&amp;ROW(),C5:D5,A5,B5,0,1,F5,H5,I5,"2b",,J5),"")</f>
        <v>Cswp0_5¬1</v>
      </c>
      <c r="L5" s="51">
        <f ca="1">IF(C5&lt;&gt;"",_xll.QIns_ProductParRate(K5,MetalCurves!$AM$21),"")</f>
        <v>26090.246500055502</v>
      </c>
      <c r="M5" s="56">
        <f t="shared" si="0"/>
        <v>30000</v>
      </c>
      <c r="N5" s="92">
        <v>2600</v>
      </c>
      <c r="O5" s="57" t="str">
        <f ca="1">IF(C5&lt;&gt;"",_xll.QIns_CreateAsianSwap("Cswp_"&amp;ROW(),C5:D5,A5,B5,M5,N5,F5,H5,I5,G5,,J5),"")</f>
        <v>Cswp_5¬1</v>
      </c>
      <c r="P5" s="51">
        <f ca="1">_xll.QIns_ProductPV(O5,MetalCurves!$AM$21)</f>
        <v>-9059476.9768805634</v>
      </c>
      <c r="Q5" s="57" t="str">
        <f ca="1">_xll.QRisk_PortfolioDelta("Cdelta_"&amp;ROW(),O5,MetalCurves!$AM$21)</f>
        <v>Cdelta_5¬1</v>
      </c>
      <c r="R5" s="57" t="str">
        <f ca="1">_xll.QCube_AggregateCube("CdeltaAgg_"&amp;ROW(),Q5,"AssetId","Sum")</f>
        <v>CdeltaAgg_5¬1</v>
      </c>
      <c r="S5" s="53">
        <f ca="1">_xll.QCube_DisplayCubeValueForRow(R5,0)</f>
        <v>2616.4582907662834</v>
      </c>
      <c r="T5" s="57" t="str">
        <f ca="1">_xll.QRisk_PortfolioFxDelta("fxdelta_"&amp;ROW(),O5,MetalCurves!$AM$21,"ZAR")</f>
        <v>fxdelta_5¬2</v>
      </c>
      <c r="U5" s="57" t="str">
        <f ca="1">_xll.QCube_AggregateCube("fxdeltaAgg_"&amp;ROW(),T5,"AssetId","Sum")</f>
        <v>fxdeltaAgg_5¬2</v>
      </c>
      <c r="V5" s="53">
        <f ca="1">_xll.QCube_DisplayCubeValueForRow(U5,0)</f>
        <v>4921776.2241644645</v>
      </c>
    </row>
    <row r="6" spans="1:22" x14ac:dyDescent="0.25">
      <c r="A6" s="52" t="str">
        <f t="shared" si="1"/>
        <v>AH</v>
      </c>
      <c r="B6" s="52" t="str">
        <f t="shared" si="2"/>
        <v>ZAR</v>
      </c>
      <c r="C6" s="1">
        <f t="shared" ca="1" si="9"/>
        <v>43603</v>
      </c>
      <c r="D6" s="1">
        <f t="shared" ca="1" si="10"/>
        <v>43603</v>
      </c>
      <c r="E6" s="52" t="str">
        <f t="shared" si="3"/>
        <v>ATC</v>
      </c>
      <c r="F6" s="52" t="str">
        <f t="shared" si="4"/>
        <v>LON+ZAR</v>
      </c>
      <c r="G6" s="52" t="str">
        <f t="shared" si="5"/>
        <v>3m</v>
      </c>
      <c r="H6" s="52" t="str">
        <f t="shared" si="6"/>
        <v>LON+NYC+ZAR</v>
      </c>
      <c r="I6" s="52" t="str">
        <f t="shared" si="7"/>
        <v>2b</v>
      </c>
      <c r="J6" s="52" t="str">
        <f t="shared" si="8"/>
        <v>ZAR.DISC.[USD.LIBOR.3M]</v>
      </c>
      <c r="K6" s="57" t="str">
        <f ca="1">IF(C6&lt;&gt;"",_xll.QIns_CreateAsianSwap("Cswp0_"&amp;ROW(),C6:D6,A6,B6,0,1,F6,H6,I6,"2b",,J6),"")</f>
        <v>Cswp0_6¬1</v>
      </c>
      <c r="L6" s="51">
        <f ca="1">IF(C6&lt;&gt;"",_xll.QIns_ProductParRate(K6,MetalCurves!$AM$21),"")</f>
        <v>26292.567208752356</v>
      </c>
      <c r="M6" s="56">
        <f t="shared" si="0"/>
        <v>30000</v>
      </c>
      <c r="N6" s="92">
        <v>2600</v>
      </c>
      <c r="O6" s="57" t="str">
        <f ca="1">IF(C6&lt;&gt;"",_xll.QIns_CreateAsianSwap("Cswp_"&amp;ROW(),C6:D6,A6,B6,M6,N6,F6,H6,I6,G6,,J6),"")</f>
        <v>Cswp_6¬1</v>
      </c>
      <c r="P6" s="51">
        <f ca="1">_xll.QIns_ProductPV(O6,MetalCurves!$AM$21)</f>
        <v>-8750451.2756830379</v>
      </c>
      <c r="Q6" s="57" t="str">
        <f ca="1">_xll.QRisk_PortfolioDelta("Cdelta_"&amp;ROW(),O6,MetalCurves!$AM$21)</f>
        <v>Cdelta_6¬1</v>
      </c>
      <c r="R6" s="57" t="str">
        <f ca="1">_xll.QCube_AggregateCube("CdeltaAgg_"&amp;ROW(),Q6,"AssetId","Sum")</f>
        <v>CdeltaAgg_6¬1</v>
      </c>
      <c r="S6" s="53">
        <f ca="1">_xll.QCube_DisplayCubeValueForRow(R6,0)</f>
        <v>2618.0280608182798</v>
      </c>
      <c r="T6" s="57" t="str">
        <f ca="1">_xll.QRisk_PortfolioFxDelta("fxdelta_"&amp;ROW(),O6,MetalCurves!$AM$21,"ZAR")</f>
        <v>fxdelta_6¬2</v>
      </c>
      <c r="U6" s="57" t="str">
        <f ca="1">_xll.QCube_AggregateCube("fxdeltaAgg_"&amp;ROW(),T6,"AssetId","Sum")</f>
        <v>fxdeltaAgg_6¬2</v>
      </c>
      <c r="V6" s="53">
        <f ca="1">_xll.QCube_DisplayCubeValueForRow(U6,0)</f>
        <v>4917350.3048205869</v>
      </c>
    </row>
    <row r="7" spans="1:22" x14ac:dyDescent="0.25">
      <c r="A7" s="52" t="str">
        <f t="shared" si="1"/>
        <v>AH</v>
      </c>
      <c r="B7" s="52" t="str">
        <f t="shared" si="2"/>
        <v>ZAR</v>
      </c>
      <c r="C7" s="1">
        <f t="shared" ca="1" si="9"/>
        <v>43634</v>
      </c>
      <c r="D7" s="1">
        <f t="shared" ca="1" si="10"/>
        <v>43634</v>
      </c>
      <c r="E7" s="52" t="str">
        <f t="shared" si="3"/>
        <v>ATC</v>
      </c>
      <c r="F7" s="52" t="str">
        <f t="shared" si="4"/>
        <v>LON+ZAR</v>
      </c>
      <c r="G7" s="52" t="str">
        <f t="shared" si="5"/>
        <v>3m</v>
      </c>
      <c r="H7" s="52" t="str">
        <f t="shared" si="6"/>
        <v>LON+NYC+ZAR</v>
      </c>
      <c r="I7" s="52" t="str">
        <f t="shared" si="7"/>
        <v>2b</v>
      </c>
      <c r="J7" s="52" t="str">
        <f t="shared" si="8"/>
        <v>ZAR.DISC.[USD.LIBOR.3M]</v>
      </c>
      <c r="K7" s="57" t="str">
        <f ca="1">IF(C7&lt;&gt;"",_xll.QIns_CreateAsianSwap("Cswp0_"&amp;ROW(),C7:D7,A7,B7,0,1,F7,H7,I7,"2b",,J7),"")</f>
        <v>Cswp0_7¬1</v>
      </c>
      <c r="L7" s="51">
        <f ca="1">IF(C7&lt;&gt;"",_xll.QIns_ProductParRate(K7,MetalCurves!$AM$21),"")</f>
        <v>26525.603148071034</v>
      </c>
      <c r="M7" s="56">
        <f t="shared" si="0"/>
        <v>30000</v>
      </c>
      <c r="N7" s="92">
        <v>2600</v>
      </c>
      <c r="O7" s="57" t="str">
        <f ca="1">IF(C7&lt;&gt;"",_xll.QIns_CreateAsianSwap("Cswp_"&amp;ROW(),C7:D7,A7,B7,M7,N7,F7,H7,I7,G7,,J7),"")</f>
        <v>Cswp_7¬1</v>
      </c>
      <c r="P7" s="51">
        <f ca="1">_xll.QIns_ProductPV(O7,MetalCurves!$AM$21)</f>
        <v>-8152989.1831762204</v>
      </c>
      <c r="Q7" s="57" t="str">
        <f ca="1">_xll.QRisk_PortfolioDelta("Cdelta_"&amp;ROW(),O7,MetalCurves!$AM$21)</f>
        <v>Cdelta_7¬1</v>
      </c>
      <c r="R7" s="57" t="str">
        <f ca="1">_xll.QCube_AggregateCube("CdeltaAgg_"&amp;ROW(),Q7,"AssetId","Sum")</f>
        <v>CdeltaAgg_7¬1</v>
      </c>
      <c r="S7" s="53">
        <f ca="1">_xll.QCube_DisplayCubeValueForRow(R7,0)</f>
        <v>2617.7188819447433</v>
      </c>
      <c r="T7" s="57" t="str">
        <f ca="1">_xll.QRisk_PortfolioFxDelta("fxdelta_"&amp;ROW(),O7,MetalCurves!$AM$21,"ZAR")</f>
        <v>fxdelta_7¬2</v>
      </c>
      <c r="U7" s="57" t="str">
        <f ca="1">_xll.QCube_AggregateCube("fxdeltaAgg_"&amp;ROW(),T7,"AssetId","Sum")</f>
        <v>fxdeltaAgg_7¬2</v>
      </c>
      <c r="V7" s="53">
        <f ca="1">_xll.QCube_DisplayCubeValueForRow(U7,0)</f>
        <v>4928074.8047130955</v>
      </c>
    </row>
    <row r="8" spans="1:22" x14ac:dyDescent="0.25">
      <c r="A8" s="52" t="str">
        <f t="shared" si="1"/>
        <v>AH</v>
      </c>
      <c r="B8" s="52" t="str">
        <f t="shared" si="2"/>
        <v>ZAR</v>
      </c>
      <c r="C8" s="1">
        <f t="shared" ca="1" si="9"/>
        <v>43664</v>
      </c>
      <c r="D8" s="1">
        <f t="shared" ca="1" si="10"/>
        <v>43664</v>
      </c>
      <c r="E8" s="52" t="str">
        <f t="shared" si="3"/>
        <v>ATC</v>
      </c>
      <c r="F8" s="52" t="str">
        <f t="shared" si="4"/>
        <v>LON+ZAR</v>
      </c>
      <c r="G8" s="52" t="str">
        <f t="shared" si="5"/>
        <v>3m</v>
      </c>
      <c r="H8" s="52" t="str">
        <f t="shared" si="6"/>
        <v>LON+NYC+ZAR</v>
      </c>
      <c r="I8" s="52" t="str">
        <f t="shared" si="7"/>
        <v>2b</v>
      </c>
      <c r="J8" s="52" t="str">
        <f t="shared" si="8"/>
        <v>ZAR.DISC.[USD.LIBOR.3M]</v>
      </c>
      <c r="K8" s="57" t="str">
        <f ca="1">IF(C8&lt;&gt;"",_xll.QIns_CreateAsianSwap("Cswp0_"&amp;ROW(),C8:D8,A8,B8,0,1,F8,H8,I8,"2b",,J8),"")</f>
        <v>Cswp0_8¬1</v>
      </c>
      <c r="L8" s="51">
        <f ca="1">IF(C8&lt;&gt;"",_xll.QIns_ProductParRate(K8,MetalCurves!$AM$21),"")</f>
        <v>26764.018628571434</v>
      </c>
      <c r="M8" s="56">
        <f t="shared" si="0"/>
        <v>30000</v>
      </c>
      <c r="N8" s="92">
        <v>2600</v>
      </c>
      <c r="O8" s="57" t="str">
        <f ca="1">IF(C8&lt;&gt;"",_xll.QIns_CreateAsianSwap("Cswp_"&amp;ROW(),C8:D8,A8,B8,M8,N8,F8,H8,I8,G8,,J8),"")</f>
        <v>Cswp_8¬1</v>
      </c>
      <c r="P8" s="51">
        <f ca="1">_xll.QIns_ProductPV(O8,MetalCurves!$AM$21)</f>
        <v>-7564904.2595663629</v>
      </c>
      <c r="Q8" s="57" t="str">
        <f ca="1">_xll.QRisk_PortfolioDelta("Cdelta_"&amp;ROW(),O8,MetalCurves!$AM$21)</f>
        <v>Cdelta_8¬1</v>
      </c>
      <c r="R8" s="57" t="str">
        <f ca="1">_xll.QCube_AggregateCube("CdeltaAgg_"&amp;ROW(),Q8,"AssetId","Sum")</f>
        <v>CdeltaAgg_8¬1</v>
      </c>
      <c r="S8" s="53">
        <f ca="1">_xll.QCube_DisplayCubeValueForRow(R8,0)</f>
        <v>2617.3299323595224</v>
      </c>
      <c r="T8" s="57" t="str">
        <f ca="1">_xll.QRisk_PortfolioFxDelta("fxdelta_"&amp;ROW(),O8,MetalCurves!$AM$21,"ZAR")</f>
        <v>fxdelta_8¬2</v>
      </c>
      <c r="U8" s="57" t="str">
        <f ca="1">_xll.QCube_AggregateCube("fxdeltaAgg_"&amp;ROW(),T8,"AssetId","Sum")</f>
        <v>fxdeltaAgg_8¬2</v>
      </c>
      <c r="V8" s="53">
        <f ca="1">_xll.QCube_DisplayCubeValueForRow(U8,0)</f>
        <v>4932783.2247979157</v>
      </c>
    </row>
    <row r="9" spans="1:22" x14ac:dyDescent="0.25">
      <c r="A9" s="52" t="str">
        <f t="shared" si="1"/>
        <v>AH</v>
      </c>
      <c r="B9" s="52" t="str">
        <f t="shared" si="2"/>
        <v>ZAR</v>
      </c>
      <c r="C9" s="1"/>
      <c r="D9" s="1"/>
      <c r="E9" s="52" t="str">
        <f t="shared" si="3"/>
        <v>ATC</v>
      </c>
      <c r="F9" s="52" t="str">
        <f t="shared" si="4"/>
        <v>LON+ZAR</v>
      </c>
      <c r="G9" s="52" t="str">
        <f t="shared" si="5"/>
        <v>3m</v>
      </c>
      <c r="H9" s="52" t="str">
        <f t="shared" si="6"/>
        <v>LON+NYC+ZAR</v>
      </c>
      <c r="I9" s="52" t="str">
        <f t="shared" si="7"/>
        <v>2b</v>
      </c>
      <c r="J9" s="52" t="str">
        <f t="shared" si="8"/>
        <v>ZAR.DISC.[USD.LIBOR.3M]</v>
      </c>
      <c r="K9" s="57" t="str">
        <f>IF(C9&lt;&gt;"",_xll.QIns_CreateAsianSwap("Cswp0_"&amp;ROW(),C9:D9,A9,B9,0,1,F9,H9,I9,"2b",,J9),"")</f>
        <v/>
      </c>
      <c r="L9" s="51" t="str">
        <f>IF(C9&lt;&gt;"",_xll.QIns_ProductParRate(K9,MetalCurves!$AM$21),"")</f>
        <v/>
      </c>
      <c r="M9" s="56">
        <f t="shared" si="0"/>
        <v>30000</v>
      </c>
      <c r="N9" s="87"/>
      <c r="O9" s="57" t="str">
        <f>IF(C9&lt;&gt;"",_xll.QIns_CreateAsianSwap("Cswp_"&amp;ROW(),C9:D9,A9,B9,M9,N9,F9,H9,I9,G9,,J9),"")</f>
        <v/>
      </c>
      <c r="P9" s="51"/>
      <c r="T9" s="57"/>
      <c r="U9" s="57"/>
    </row>
    <row r="10" spans="1:22" x14ac:dyDescent="0.25">
      <c r="A10" s="52" t="str">
        <f t="shared" si="1"/>
        <v>AH</v>
      </c>
      <c r="B10" s="52" t="str">
        <f t="shared" si="2"/>
        <v>ZAR</v>
      </c>
      <c r="C10" s="1"/>
      <c r="D10" s="1"/>
      <c r="E10" s="52" t="str">
        <f t="shared" si="3"/>
        <v>ATC</v>
      </c>
      <c r="F10" s="52" t="str">
        <f t="shared" si="4"/>
        <v>LON+ZAR</v>
      </c>
      <c r="G10" s="52" t="str">
        <f t="shared" si="5"/>
        <v>3m</v>
      </c>
      <c r="H10" s="52" t="str">
        <f t="shared" si="6"/>
        <v>LON+NYC+ZAR</v>
      </c>
      <c r="I10" s="52" t="str">
        <f t="shared" si="7"/>
        <v>2b</v>
      </c>
      <c r="J10" s="52" t="str">
        <f t="shared" si="8"/>
        <v>ZAR.DISC.[USD.LIBOR.3M]</v>
      </c>
      <c r="K10" s="57" t="str">
        <f>IF(C10&lt;&gt;"",_xll.QIns_CreateAsianSwap("Cswp0_"&amp;ROW(),C10:D10,A10,B10,0,1,F10,H10,I10,"2b",,J10),"")</f>
        <v/>
      </c>
      <c r="L10" s="51" t="str">
        <f>IF(C10&lt;&gt;"",_xll.QIns_ProductParRate(K10,MetalCurves!$AM$21),"")</f>
        <v/>
      </c>
      <c r="M10" s="56">
        <f t="shared" si="0"/>
        <v>30000</v>
      </c>
      <c r="N10" s="3"/>
      <c r="O10" s="57" t="str">
        <f>IF(C10&lt;&gt;"",_xll.QIns_CreateAsianSwap("Cswp_"&amp;ROW(),C10:D10,A10,B10,M10,N10,F10,H10,I10,G10,,J10),"")</f>
        <v/>
      </c>
      <c r="P10" s="51"/>
    </row>
    <row r="11" spans="1:22" x14ac:dyDescent="0.25">
      <c r="A11" s="52" t="str">
        <f t="shared" si="1"/>
        <v>AH</v>
      </c>
      <c r="B11" s="52" t="str">
        <f t="shared" si="2"/>
        <v>ZAR</v>
      </c>
      <c r="C11" s="1"/>
      <c r="D11" s="1"/>
      <c r="E11" s="52" t="str">
        <f t="shared" si="3"/>
        <v>ATC</v>
      </c>
      <c r="F11" s="52" t="str">
        <f t="shared" si="4"/>
        <v>LON+ZAR</v>
      </c>
      <c r="G11" s="52" t="str">
        <f t="shared" si="5"/>
        <v>3m</v>
      </c>
      <c r="H11" s="52" t="str">
        <f t="shared" si="6"/>
        <v>LON+NYC+ZAR</v>
      </c>
      <c r="I11" s="52" t="str">
        <f t="shared" si="7"/>
        <v>2b</v>
      </c>
      <c r="J11" s="52" t="str">
        <f t="shared" si="8"/>
        <v>ZAR.DISC.[USD.LIBOR.3M]</v>
      </c>
      <c r="K11" s="57" t="str">
        <f>IF(C11&lt;&gt;"",_xll.QIns_CreateAsianSwap("Cswp0_"&amp;ROW(),C11:D11,A11,B11,0,1,F11,H11,I11,"2b",,J11),"")</f>
        <v/>
      </c>
      <c r="L11" s="51" t="str">
        <f>IF(C11&lt;&gt;"",_xll.QIns_ProductParRate(K11,MetalCurves!$AM$21),"")</f>
        <v/>
      </c>
      <c r="M11" s="56">
        <f t="shared" si="0"/>
        <v>30000</v>
      </c>
      <c r="O11" s="57" t="str">
        <f>IF(C11&lt;&gt;"",_xll.QIns_CreateAsianSwap("Cswp_"&amp;ROW(),C11:D11,A11,B11,M11,N11,F11,H11,I11,G11,,J11),"")</f>
        <v/>
      </c>
    </row>
    <row r="12" spans="1:22" x14ac:dyDescent="0.25">
      <c r="A12" s="52" t="str">
        <f t="shared" si="1"/>
        <v>AH</v>
      </c>
      <c r="B12" s="52" t="str">
        <f t="shared" si="2"/>
        <v>ZAR</v>
      </c>
      <c r="C12" s="1"/>
      <c r="D12" s="1"/>
      <c r="E12" s="52" t="str">
        <f t="shared" si="3"/>
        <v>ATC</v>
      </c>
      <c r="F12" s="52" t="str">
        <f t="shared" si="4"/>
        <v>LON+ZAR</v>
      </c>
      <c r="G12" s="52" t="str">
        <f t="shared" si="5"/>
        <v>3m</v>
      </c>
      <c r="H12" s="52" t="str">
        <f t="shared" si="6"/>
        <v>LON+NYC+ZAR</v>
      </c>
      <c r="I12" s="52" t="str">
        <f t="shared" si="7"/>
        <v>2b</v>
      </c>
      <c r="J12" s="52" t="str">
        <f t="shared" si="8"/>
        <v>ZAR.DISC.[USD.LIBOR.3M]</v>
      </c>
      <c r="K12" s="57" t="str">
        <f>IF(C12&lt;&gt;"",_xll.QIns_CreateAsianSwap("Cswp0_"&amp;ROW(),C12:D12,A12,B12,0,1,F12,H12,I12,"2b",,J12),"")</f>
        <v/>
      </c>
      <c r="L12" s="51" t="str">
        <f>IF(C12&lt;&gt;"",_xll.QIns_ProductParRate(K12,MetalCurves!$AM$21),"")</f>
        <v/>
      </c>
      <c r="M12" s="56">
        <f t="shared" si="0"/>
        <v>30000</v>
      </c>
      <c r="O12" s="57" t="str">
        <f>IF(C12&lt;&gt;"",_xll.QIns_CreateAsianSwap("Cswp_"&amp;ROW(),C12:D12,A12,B12,M12,N12,F12,H12,I12,G12,,J12),"")</f>
        <v/>
      </c>
    </row>
    <row r="13" spans="1:22" x14ac:dyDescent="0.25">
      <c r="A13" s="52" t="str">
        <f t="shared" si="1"/>
        <v>AH</v>
      </c>
      <c r="B13" s="52" t="str">
        <f t="shared" si="2"/>
        <v>ZAR</v>
      </c>
      <c r="C13" s="1"/>
      <c r="D13" s="1"/>
      <c r="E13" s="52" t="str">
        <f t="shared" si="3"/>
        <v>ATC</v>
      </c>
      <c r="F13" s="52" t="str">
        <f t="shared" si="4"/>
        <v>LON+ZAR</v>
      </c>
      <c r="G13" s="52" t="str">
        <f t="shared" si="5"/>
        <v>3m</v>
      </c>
      <c r="H13" s="52" t="str">
        <f t="shared" si="6"/>
        <v>LON+NYC+ZAR</v>
      </c>
      <c r="I13" s="52" t="str">
        <f t="shared" si="7"/>
        <v>2b</v>
      </c>
      <c r="J13" s="52" t="str">
        <f t="shared" si="8"/>
        <v>ZAR.DISC.[USD.LIBOR.3M]</v>
      </c>
      <c r="K13" s="57" t="str">
        <f>IF(C13&lt;&gt;"",_xll.QIns_CreateAsianSwap("Cswp0_"&amp;ROW(),C13:D13,A13,B13,0,1,F13,H13,I13,"2b",,J13),"")</f>
        <v/>
      </c>
      <c r="L13" s="51" t="str">
        <f>IF(C13&lt;&gt;"",_xll.QIns_ProductParRate(K13,MetalCurves!$AM$21),"")</f>
        <v/>
      </c>
      <c r="M13" s="56">
        <f t="shared" si="0"/>
        <v>30000</v>
      </c>
      <c r="O13" s="57" t="str">
        <f>IF(C13&lt;&gt;"",_xll.QIns_CreateAsianSwap("Cswp_"&amp;ROW(),C13:D13,A13,B13,M13,N13,F13,H13,I13,G13,,J13),"")</f>
        <v/>
      </c>
    </row>
    <row r="14" spans="1:22" x14ac:dyDescent="0.25">
      <c r="A14" s="52" t="str">
        <f t="shared" si="1"/>
        <v>AH</v>
      </c>
      <c r="B14" s="52" t="str">
        <f t="shared" si="2"/>
        <v>ZAR</v>
      </c>
      <c r="C14" s="1"/>
      <c r="D14" s="1"/>
      <c r="E14" s="52" t="str">
        <f t="shared" si="3"/>
        <v>ATC</v>
      </c>
      <c r="F14" s="52" t="str">
        <f t="shared" si="4"/>
        <v>LON+ZAR</v>
      </c>
      <c r="G14" s="52" t="str">
        <f t="shared" si="5"/>
        <v>3m</v>
      </c>
      <c r="H14" s="52" t="str">
        <f t="shared" si="6"/>
        <v>LON+NYC+ZAR</v>
      </c>
      <c r="I14" s="52" t="str">
        <f t="shared" si="7"/>
        <v>2b</v>
      </c>
      <c r="J14" s="52" t="str">
        <f t="shared" si="8"/>
        <v>ZAR.DISC.[USD.LIBOR.3M]</v>
      </c>
      <c r="K14" s="57" t="str">
        <f>IF(C14&lt;&gt;"",_xll.QIns_CreateAsianSwap("Cswp0_"&amp;ROW(),C14:D14,A14,B14,0,1,F14,H14,I14,"2b",,J14),"")</f>
        <v/>
      </c>
      <c r="L14" s="51" t="str">
        <f>IF(C14&lt;&gt;"",_xll.QIns_ProductParRate(K14,MetalCurves!$AM$21),"")</f>
        <v/>
      </c>
      <c r="M14" s="56">
        <f t="shared" si="0"/>
        <v>30000</v>
      </c>
      <c r="O14" s="57" t="str">
        <f>IF(C14&lt;&gt;"",_xll.QIns_CreateAsianSwap("Cswp_"&amp;ROW(),C14:D14,A14,B14,M14,N14,F14,H14,I14,G14,,J14),"")</f>
        <v/>
      </c>
    </row>
    <row r="15" spans="1:22" x14ac:dyDescent="0.25">
      <c r="A15" s="52" t="str">
        <f t="shared" si="1"/>
        <v>AH</v>
      </c>
      <c r="B15" s="52" t="str">
        <f t="shared" si="2"/>
        <v>ZAR</v>
      </c>
      <c r="C15" s="1"/>
      <c r="D15" s="1"/>
      <c r="E15" s="52" t="str">
        <f t="shared" si="3"/>
        <v>ATC</v>
      </c>
      <c r="F15" s="52" t="str">
        <f t="shared" si="4"/>
        <v>LON+ZAR</v>
      </c>
      <c r="G15" s="52" t="str">
        <f t="shared" si="5"/>
        <v>3m</v>
      </c>
      <c r="H15" s="52" t="str">
        <f t="shared" si="6"/>
        <v>LON+NYC+ZAR</v>
      </c>
      <c r="I15" s="52" t="str">
        <f t="shared" si="7"/>
        <v>2b</v>
      </c>
      <c r="J15" s="52" t="str">
        <f t="shared" si="8"/>
        <v>ZAR.DISC.[USD.LIBOR.3M]</v>
      </c>
      <c r="K15" s="57" t="str">
        <f>IF(C15&lt;&gt;"",_xll.QIns_CreateAsianSwap("Cswp0_"&amp;ROW(),C15:D15,A15,B15,0,1,F15,H15,I15,"2b",,J15),"")</f>
        <v/>
      </c>
      <c r="L15" s="51" t="str">
        <f>IF(C15&lt;&gt;"",_xll.QIns_ProductParRate(K15,MetalCurves!$AM$21),"")</f>
        <v/>
      </c>
      <c r="M15" s="56">
        <f t="shared" si="0"/>
        <v>30000</v>
      </c>
      <c r="N15" s="3"/>
      <c r="O15" s="57" t="str">
        <f>IF(C15&lt;&gt;"",_xll.QIns_CreateAsianSwap("Cswp_"&amp;ROW(),C15:D15,A15,B15,M15,N15,F15,H15,I15,G15,,J15),"")</f>
        <v/>
      </c>
      <c r="P15" s="51"/>
      <c r="T15" s="57"/>
      <c r="U15" s="57"/>
    </row>
    <row r="16" spans="1:22" x14ac:dyDescent="0.25">
      <c r="A16" s="52" t="str">
        <f t="shared" si="1"/>
        <v>AH</v>
      </c>
      <c r="B16" s="52" t="str">
        <f t="shared" si="2"/>
        <v>ZAR</v>
      </c>
      <c r="C16" s="1"/>
      <c r="D16" s="1"/>
      <c r="E16" s="52" t="str">
        <f t="shared" si="3"/>
        <v>ATC</v>
      </c>
      <c r="F16" s="52" t="str">
        <f t="shared" si="4"/>
        <v>LON+ZAR</v>
      </c>
      <c r="G16" s="52" t="str">
        <f t="shared" si="5"/>
        <v>3m</v>
      </c>
      <c r="H16" s="52" t="str">
        <f t="shared" si="6"/>
        <v>LON+NYC+ZAR</v>
      </c>
      <c r="I16" s="52" t="str">
        <f t="shared" si="7"/>
        <v>2b</v>
      </c>
      <c r="J16" s="52" t="str">
        <f t="shared" si="8"/>
        <v>ZAR.DISC.[USD.LIBOR.3M]</v>
      </c>
      <c r="K16" s="57" t="str">
        <f>IF(C16&lt;&gt;"",_xll.QIns_CreateAsianSwap("Cswp0_"&amp;ROW(),C16:D16,A16,B16,0,1,F16,H16,I16,"2b",,J16),"")</f>
        <v/>
      </c>
      <c r="L16" s="51" t="str">
        <f>IF(C16&lt;&gt;"",_xll.QIns_ProductParRate(K16,MetalCurves!$AM$21),"")</f>
        <v/>
      </c>
      <c r="M16" s="56">
        <f t="shared" si="0"/>
        <v>30000</v>
      </c>
      <c r="N16" s="3"/>
      <c r="O16" s="57" t="str">
        <f>IF(C16&lt;&gt;"",_xll.QIns_CreateAsianSwap("Cswp_"&amp;ROW(),C16:D16,A16,B16,M16,N16,F16,H16,I16,G16,,J16),"")</f>
        <v/>
      </c>
      <c r="P16" s="51"/>
      <c r="T16" s="57"/>
      <c r="U16" s="57"/>
    </row>
    <row r="17" spans="1:22" x14ac:dyDescent="0.25">
      <c r="A17" s="52" t="str">
        <f t="shared" si="1"/>
        <v>AH</v>
      </c>
      <c r="B17" s="52" t="str">
        <f t="shared" si="2"/>
        <v>ZAR</v>
      </c>
      <c r="C17" s="1"/>
      <c r="D17" s="1"/>
      <c r="E17" s="52" t="str">
        <f t="shared" si="3"/>
        <v>ATC</v>
      </c>
      <c r="F17" s="52" t="str">
        <f t="shared" si="4"/>
        <v>LON+ZAR</v>
      </c>
      <c r="G17" s="52" t="str">
        <f t="shared" si="5"/>
        <v>3m</v>
      </c>
      <c r="H17" s="52" t="str">
        <f t="shared" si="6"/>
        <v>LON+NYC+ZAR</v>
      </c>
      <c r="I17" s="52" t="str">
        <f t="shared" si="7"/>
        <v>2b</v>
      </c>
      <c r="J17" s="52" t="str">
        <f t="shared" si="8"/>
        <v>ZAR.DISC.[USD.LIBOR.3M]</v>
      </c>
      <c r="K17" s="57" t="str">
        <f>IF(C17&lt;&gt;"",_xll.QIns_CreateAsianSwap("Cswp0_"&amp;ROW(),C17:D17,A17,B17,0,1,F17,H17,I17,"2b",,J17),"")</f>
        <v/>
      </c>
      <c r="L17" s="51" t="str">
        <f>IF(C17&lt;&gt;"",_xll.QIns_ProductParRate(K17,MetalCurves!$AM$21),"")</f>
        <v/>
      </c>
      <c r="M17" s="56">
        <f t="shared" si="0"/>
        <v>30000</v>
      </c>
      <c r="N17" s="3"/>
      <c r="O17" s="57" t="str">
        <f>IF(C17&lt;&gt;"",_xll.QIns_CreateAsianSwap("Cswp_"&amp;ROW(),C17:D17,A17,B17,M17,N17,F17,H17,I17,G17,,J17),"")</f>
        <v/>
      </c>
      <c r="P17" s="51"/>
      <c r="T17" s="57"/>
      <c r="U17" s="57"/>
    </row>
    <row r="18" spans="1:22" x14ac:dyDescent="0.25">
      <c r="A18" s="52" t="str">
        <f t="shared" si="1"/>
        <v>AH</v>
      </c>
      <c r="B18" s="52" t="str">
        <f t="shared" si="2"/>
        <v>ZAR</v>
      </c>
      <c r="C18" s="1"/>
      <c r="D18" s="1"/>
      <c r="E18" s="52" t="str">
        <f t="shared" si="3"/>
        <v>ATC</v>
      </c>
      <c r="F18" s="52" t="str">
        <f t="shared" si="4"/>
        <v>LON+ZAR</v>
      </c>
      <c r="G18" s="52" t="str">
        <f t="shared" si="5"/>
        <v>3m</v>
      </c>
      <c r="H18" s="52" t="str">
        <f t="shared" si="6"/>
        <v>LON+NYC+ZAR</v>
      </c>
      <c r="I18" s="52" t="str">
        <f t="shared" si="7"/>
        <v>2b</v>
      </c>
      <c r="J18" s="52" t="str">
        <f t="shared" si="8"/>
        <v>ZAR.DISC.[USD.LIBOR.3M]</v>
      </c>
      <c r="K18" s="57" t="str">
        <f>IF(C18&lt;&gt;"",_xll.QIns_CreateAsianSwap("Cswp0_"&amp;ROW(),C18:D18,A18,B18,0,1,F18,H18,I18,"2b",,J18),"")</f>
        <v/>
      </c>
      <c r="L18" s="51" t="str">
        <f>IF(C18&lt;&gt;"",_xll.QIns_ProductParRate(K18,MetalCurves!$AM$21),"")</f>
        <v/>
      </c>
      <c r="M18" s="56">
        <f t="shared" si="0"/>
        <v>30000</v>
      </c>
      <c r="N18" s="3"/>
      <c r="O18" s="57" t="str">
        <f>IF(C18&lt;&gt;"",_xll.QIns_CreateAsianSwap("Cswp_"&amp;ROW(),C18:D18,A18,B18,M18,N18,F18,H18,I18,G18,,J18),"")</f>
        <v/>
      </c>
      <c r="P18" s="51"/>
      <c r="T18" s="57"/>
      <c r="U18" s="57"/>
    </row>
    <row r="19" spans="1:22" x14ac:dyDescent="0.25">
      <c r="A19" s="52" t="str">
        <f t="shared" si="1"/>
        <v>AH</v>
      </c>
      <c r="B19" s="52" t="str">
        <f t="shared" si="2"/>
        <v>ZAR</v>
      </c>
      <c r="C19" s="1"/>
      <c r="D19" s="1"/>
      <c r="E19" s="52" t="str">
        <f t="shared" si="3"/>
        <v>ATC</v>
      </c>
      <c r="F19" s="52" t="str">
        <f t="shared" si="4"/>
        <v>LON+ZAR</v>
      </c>
      <c r="G19" s="52" t="str">
        <f t="shared" si="5"/>
        <v>3m</v>
      </c>
      <c r="H19" s="52" t="str">
        <f t="shared" si="6"/>
        <v>LON+NYC+ZAR</v>
      </c>
      <c r="I19" s="52" t="str">
        <f t="shared" si="7"/>
        <v>2b</v>
      </c>
      <c r="J19" s="52" t="str">
        <f t="shared" si="8"/>
        <v>ZAR.DISC.[USD.LIBOR.3M]</v>
      </c>
      <c r="K19" s="57" t="str">
        <f>IF(C19&lt;&gt;"",_xll.QIns_CreateAsianSwap("Cswp0_"&amp;ROW(),C19:D19,A19,B19,0,1,F19,H19,I19,"2b",,J19),"")</f>
        <v/>
      </c>
      <c r="L19" s="51" t="str">
        <f>IF(C19&lt;&gt;"",_xll.QIns_ProductParRate(K19,MetalCurves!$AM$21),"")</f>
        <v/>
      </c>
      <c r="M19" s="56">
        <f t="shared" si="0"/>
        <v>30000</v>
      </c>
      <c r="N19" s="3"/>
      <c r="O19" s="57" t="str">
        <f>IF(C19&lt;&gt;"",_xll.QIns_CreateAsianSwap("Cswp_"&amp;ROW(),C19:D19,A19,B19,M19,N19,F19,H19,I19,G19,,J19),"")</f>
        <v/>
      </c>
      <c r="P19" s="51"/>
      <c r="T19" s="57"/>
      <c r="U19" s="57"/>
    </row>
    <row r="20" spans="1:22" x14ac:dyDescent="0.25">
      <c r="A20" s="52" t="str">
        <f t="shared" si="1"/>
        <v>AH</v>
      </c>
      <c r="B20" s="52" t="str">
        <f t="shared" si="2"/>
        <v>ZAR</v>
      </c>
      <c r="C20" s="1"/>
      <c r="D20" s="1"/>
      <c r="E20" s="52" t="str">
        <f t="shared" si="3"/>
        <v>ATC</v>
      </c>
      <c r="F20" s="52" t="str">
        <f t="shared" si="4"/>
        <v>LON+ZAR</v>
      </c>
      <c r="G20" s="52" t="str">
        <f t="shared" si="5"/>
        <v>3m</v>
      </c>
      <c r="H20" s="52" t="str">
        <f t="shared" si="6"/>
        <v>LON+NYC+ZAR</v>
      </c>
      <c r="I20" s="52" t="str">
        <f t="shared" si="7"/>
        <v>2b</v>
      </c>
      <c r="J20" s="52" t="str">
        <f t="shared" si="8"/>
        <v>ZAR.DISC.[USD.LIBOR.3M]</v>
      </c>
      <c r="K20" s="57" t="str">
        <f>IF(C20&lt;&gt;"",_xll.QIns_CreateAsianSwap("Cswp0_"&amp;ROW(),C20:D20,A20,B20,0,1,F20,H20,I20,"2b",,J20),"")</f>
        <v/>
      </c>
      <c r="L20" s="51" t="str">
        <f>IF(C20&lt;&gt;"",_xll.QIns_ProductParRate(K20,MetalCurves!$AM$21),"")</f>
        <v/>
      </c>
      <c r="M20" s="56">
        <f t="shared" si="0"/>
        <v>30000</v>
      </c>
      <c r="N20" s="3"/>
      <c r="O20" s="57" t="str">
        <f>IF(C20&lt;&gt;"",_xll.QIns_CreateAsianSwap("Cswp_"&amp;ROW(),C20:D20,A20,B20,M20,N20,F20,H20,I20,G20,,J20),"")</f>
        <v/>
      </c>
      <c r="P20" s="51"/>
      <c r="T20" s="57"/>
      <c r="U20" s="57"/>
    </row>
    <row r="21" spans="1:22" s="58" customFormat="1" x14ac:dyDescent="0.25">
      <c r="C21" s="59"/>
      <c r="D21" s="59"/>
      <c r="L21" s="60"/>
      <c r="M21" s="61"/>
      <c r="N21" s="62"/>
      <c r="P21" s="60"/>
      <c r="S21" s="63"/>
      <c r="V21" s="63"/>
    </row>
    <row r="22" spans="1:22" x14ac:dyDescent="0.25">
      <c r="C22" s="48"/>
      <c r="D22" s="1"/>
      <c r="L22" s="51"/>
      <c r="M22" s="14"/>
      <c r="N22" s="3"/>
      <c r="P22" s="51"/>
      <c r="T22" s="57"/>
      <c r="U22" s="57"/>
    </row>
    <row r="23" spans="1:22" x14ac:dyDescent="0.25">
      <c r="C23" s="88"/>
      <c r="D23" s="1"/>
      <c r="I23" s="86"/>
      <c r="L23" s="51"/>
      <c r="M23" s="14"/>
      <c r="N23" s="3"/>
      <c r="P23" s="51"/>
      <c r="T23" s="57"/>
      <c r="U23" s="57"/>
    </row>
    <row r="24" spans="1:22" x14ac:dyDescent="0.25">
      <c r="C24" s="48"/>
      <c r="D24" s="48"/>
      <c r="H24" s="86"/>
      <c r="I24" s="86"/>
      <c r="L24" s="51"/>
      <c r="M24" s="14"/>
      <c r="N24" s="3"/>
      <c r="P24" s="51"/>
      <c r="T24" s="57"/>
      <c r="U24" s="57"/>
    </row>
    <row r="25" spans="1:22" x14ac:dyDescent="0.25">
      <c r="C25" s="48"/>
      <c r="D25" s="48"/>
      <c r="L25" s="51"/>
      <c r="M25" s="14"/>
      <c r="N25" s="3"/>
      <c r="P25" s="51"/>
      <c r="T25" s="57"/>
      <c r="U25" s="57"/>
    </row>
    <row r="26" spans="1:22" x14ac:dyDescent="0.25">
      <c r="C26" s="1"/>
      <c r="D26" s="84"/>
      <c r="L26" s="51"/>
      <c r="M26" s="14"/>
      <c r="N26" s="3"/>
      <c r="P26" s="51"/>
      <c r="T26" s="57"/>
      <c r="U26" s="57"/>
    </row>
    <row r="27" spans="1:22" x14ac:dyDescent="0.25">
      <c r="C27" s="1"/>
      <c r="D27" s="84"/>
    </row>
    <row r="28" spans="1:22" x14ac:dyDescent="0.25">
      <c r="C28" s="48"/>
      <c r="D28" s="48"/>
      <c r="J28" s="11"/>
      <c r="L28" s="51"/>
      <c r="M28" s="14"/>
      <c r="N28" s="3"/>
      <c r="P28" s="51"/>
      <c r="T28" s="57"/>
      <c r="U28" s="57"/>
    </row>
    <row r="29" spans="1:22" x14ac:dyDescent="0.25">
      <c r="C29" s="48"/>
      <c r="D29" s="48"/>
      <c r="J29" s="11"/>
      <c r="L29" s="51"/>
      <c r="M29" s="14"/>
      <c r="N29" s="3"/>
      <c r="P29" s="51"/>
      <c r="T29" s="57"/>
      <c r="U29" s="57"/>
    </row>
    <row r="30" spans="1:22" x14ac:dyDescent="0.25">
      <c r="C30" s="48"/>
      <c r="D30" s="48"/>
      <c r="L30" s="51"/>
      <c r="M30" s="14"/>
      <c r="N30" s="3"/>
      <c r="P30" s="51"/>
      <c r="T30" s="57"/>
      <c r="U30" s="57"/>
    </row>
    <row r="31" spans="1:22" x14ac:dyDescent="0.25">
      <c r="C31" s="48"/>
      <c r="D31" s="48"/>
      <c r="L31" s="51"/>
      <c r="M31" s="14"/>
      <c r="N31" s="3"/>
      <c r="P31" s="51"/>
      <c r="T31" s="57"/>
      <c r="U31" s="57"/>
    </row>
    <row r="32" spans="1:22" x14ac:dyDescent="0.25">
      <c r="C32" s="48"/>
      <c r="L32" s="51"/>
      <c r="M32" s="14"/>
      <c r="N32" s="3"/>
      <c r="P32" s="51"/>
      <c r="T32" s="57"/>
      <c r="U32" s="57"/>
    </row>
    <row r="33" spans="3:21" x14ac:dyDescent="0.25">
      <c r="C33" s="48"/>
      <c r="L33" s="51"/>
      <c r="M33" s="14"/>
      <c r="N33" s="3"/>
      <c r="P33" s="51"/>
      <c r="T33" s="57"/>
      <c r="U33" s="5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2A9BA1F-A80D-436A-BF58-C3FA25ACAC12}">
          <x14:formula1>
            <xm:f>MetalCurves!$BD$2:$BD$3</xm:f>
          </x14:formula1>
          <xm:sqref>G28:G33 G2:G26</xm:sqref>
        </x14:dataValidation>
        <x14:dataValidation type="list" allowBlank="1" showInputMessage="1" showErrorMessage="1" xr:uid="{B921EC41-A7AA-4CD3-96CC-A6C837D1E7AA}">
          <x14:formula1>
            <xm:f>MetalCurves!$BC$2:$BC$4</xm:f>
          </x14:formula1>
          <xm:sqref>E2:E26 E28:E31</xm:sqref>
        </x14:dataValidation>
        <x14:dataValidation type="list" allowBlank="1" showInputMessage="1" showErrorMessage="1" xr:uid="{F92154FA-0394-4FCC-AB04-F3E4ABE1C1F1}">
          <x14:formula1>
            <xm:f>FundingFx!$D$18:$D$19</xm:f>
          </x14:formula1>
          <xm:sqref>B2:B26 B28:B33</xm:sqref>
        </x14:dataValidation>
        <x14:dataValidation type="list" allowBlank="1" showInputMessage="1" showErrorMessage="1" xr:uid="{D498ECB5-7E6A-4097-AD11-7D3DC231A273}">
          <x14:formula1>
            <xm:f>MetalCurves!$AZ$2:$AZ$7</xm:f>
          </x14:formula1>
          <xm:sqref>A2:A26 A28:A33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1A06-80FB-4735-AA87-6A0EF80C126C}">
  <sheetPr codeName="Sheet5"/>
  <dimension ref="A1:AG84"/>
  <sheetViews>
    <sheetView workbookViewId="0">
      <selection activeCell="J2" sqref="J2"/>
    </sheetView>
  </sheetViews>
  <sheetFormatPr defaultRowHeight="15" outlineLevelCol="1" x14ac:dyDescent="0.25"/>
  <cols>
    <col min="3" max="3" width="10.140625" bestFit="1" customWidth="1"/>
    <col min="4" max="4" width="5.28515625" bestFit="1" customWidth="1"/>
    <col min="5" max="5" width="7.42578125" bestFit="1" customWidth="1"/>
    <col min="6" max="7" width="11.42578125" bestFit="1" customWidth="1"/>
    <col min="8" max="8" width="13.85546875" style="3" bestFit="1" customWidth="1"/>
    <col min="9" max="9" width="11.42578125" style="3" bestFit="1" customWidth="1"/>
    <col min="10" max="10" width="13.7109375" bestFit="1" customWidth="1"/>
    <col min="11" max="11" width="6.85546875" hidden="1" customWidth="1" outlineLevel="1"/>
    <col min="12" max="12" width="13.28515625" style="52" bestFit="1" customWidth="1" collapsed="1"/>
    <col min="13" max="13" width="15.28515625" bestFit="1" customWidth="1"/>
    <col min="14" max="14" width="13.28515625" style="84" bestFit="1" customWidth="1"/>
    <col min="15" max="15" width="9.140625" hidden="1" customWidth="1" outlineLevel="1"/>
    <col min="16" max="16" width="17" style="52" customWidth="1" collapsed="1"/>
    <col min="17" max="17" width="17.7109375" hidden="1" customWidth="1" outlineLevel="1"/>
    <col min="18" max="18" width="21" hidden="1" customWidth="1" outlineLevel="1"/>
    <col min="19" max="19" width="9.5703125" style="53" bestFit="1" customWidth="1" collapsed="1"/>
    <col min="20" max="21" width="9.140625" style="52" hidden="1" customWidth="1" outlineLevel="1"/>
    <col min="22" max="22" width="13.28515625" style="53" bestFit="1" customWidth="1" collapsed="1"/>
    <col min="23" max="23" width="9.140625" style="57" hidden="1" customWidth="1" outlineLevel="1"/>
    <col min="24" max="24" width="8.7109375" style="57" hidden="1" customWidth="1" outlineLevel="1"/>
    <col min="25" max="25" width="11.5703125" style="53" bestFit="1" customWidth="1" collapsed="1"/>
    <col min="26" max="26" width="9.140625" hidden="1" customWidth="1" outlineLevel="1"/>
    <col min="27" max="27" width="0.7109375" hidden="1" customWidth="1" outlineLevel="1"/>
    <col min="28" max="28" width="11.5703125" bestFit="1" customWidth="1" collapsed="1"/>
    <col min="29" max="29" width="10.5703125" bestFit="1" customWidth="1"/>
    <col min="31" max="31" width="10.42578125" bestFit="1" customWidth="1"/>
    <col min="32" max="32" width="11.140625" bestFit="1" customWidth="1"/>
  </cols>
  <sheetData>
    <row r="1" spans="1:33" s="50" customFormat="1" x14ac:dyDescent="0.25">
      <c r="A1" s="49" t="s">
        <v>44</v>
      </c>
      <c r="B1" s="49" t="s">
        <v>69</v>
      </c>
      <c r="C1" s="49" t="s">
        <v>61</v>
      </c>
      <c r="D1" s="49" t="s">
        <v>62</v>
      </c>
      <c r="E1" s="49" t="s">
        <v>70</v>
      </c>
      <c r="F1" s="49" t="s">
        <v>74</v>
      </c>
      <c r="G1" s="49" t="s">
        <v>78</v>
      </c>
      <c r="H1" s="49" t="s">
        <v>75</v>
      </c>
      <c r="I1" s="49" t="s">
        <v>65</v>
      </c>
      <c r="J1" s="49" t="s">
        <v>77</v>
      </c>
      <c r="K1" s="49" t="s">
        <v>68</v>
      </c>
      <c r="L1" s="49" t="s">
        <v>80</v>
      </c>
      <c r="M1" s="49" t="s">
        <v>42</v>
      </c>
      <c r="N1" s="91" t="s">
        <v>64</v>
      </c>
      <c r="O1" s="49" t="s">
        <v>68</v>
      </c>
      <c r="P1" s="49" t="s">
        <v>45</v>
      </c>
      <c r="Q1" s="49" t="s">
        <v>68</v>
      </c>
      <c r="R1" s="49" t="s">
        <v>68</v>
      </c>
      <c r="S1" s="54" t="s">
        <v>46</v>
      </c>
      <c r="T1" s="49" t="s">
        <v>68</v>
      </c>
      <c r="U1" s="49" t="s">
        <v>68</v>
      </c>
      <c r="V1" s="54" t="s">
        <v>52</v>
      </c>
      <c r="W1" s="49" t="s">
        <v>68</v>
      </c>
      <c r="X1" s="49" t="s">
        <v>68</v>
      </c>
      <c r="Y1" s="54" t="s">
        <v>90</v>
      </c>
      <c r="Z1" s="49" t="s">
        <v>68</v>
      </c>
      <c r="AA1" s="49" t="s">
        <v>68</v>
      </c>
      <c r="AB1" s="54" t="s">
        <v>91</v>
      </c>
    </row>
    <row r="2" spans="1:33" x14ac:dyDescent="0.25">
      <c r="A2" s="57" t="s">
        <v>3</v>
      </c>
      <c r="B2" s="57" t="s">
        <v>25</v>
      </c>
      <c r="C2" s="48">
        <v>43466</v>
      </c>
      <c r="D2" t="s">
        <v>79</v>
      </c>
      <c r="E2" t="s">
        <v>71</v>
      </c>
      <c r="F2" t="str">
        <f t="shared" ref="F2" si="0">"LON"&amp;IF(B2&lt;&gt;"USD","+"&amp;B2,"")</f>
        <v>LON+ZAR</v>
      </c>
      <c r="G2" t="s">
        <v>76</v>
      </c>
      <c r="H2" s="3" t="str">
        <f t="shared" ref="H2" si="1">"LON+NYC"&amp;IF(B2&lt;&gt;"USD","+"&amp;B2,"")</f>
        <v>LON+NYC+ZAR</v>
      </c>
      <c r="I2" s="3" t="s">
        <v>76</v>
      </c>
      <c r="J2" s="57" t="str">
        <f>VLOOKUP(B2,FundingFx!$D$18:$E$19,2,FALSE)</f>
        <v>ZAR.DISC.[USD.LIBOR.3M]</v>
      </c>
      <c r="K2" t="str">
        <f>_xll.QIns_CreateAsianSwap("TAswpOpt0_"&amp;ROW(),C2,A2,B2,0,1,F2,H2,I2,"2b",,J2)</f>
        <v>TAswpOpt0_2¬0</v>
      </c>
      <c r="L2" s="51">
        <f ca="1">_xll.QIns_ProductParRate(K2,MetalCurves!$AM$21)</f>
        <v>25644.209437527901</v>
      </c>
      <c r="M2" s="14">
        <f ca="1">L2</f>
        <v>25644.209437527901</v>
      </c>
      <c r="N2" s="92">
        <v>3200</v>
      </c>
      <c r="O2" t="str">
        <f ca="1">_xll.QIns_CreateAsianOption("Topt_"&amp;ROW(),C2,A2,B2,M2,D2,N2,F2,H2,I2,"2b",,J2)</f>
        <v>Topt_2¬1</v>
      </c>
      <c r="P2" s="51">
        <f ca="1">_xll.QIns_ProductPV(O2,MetalCurves!$AM$21)</f>
        <v>42562.340907415746</v>
      </c>
      <c r="Q2" t="str">
        <f ca="1">_xll.QRisk_PortfolioDelta("LMEOptdelta_"&amp;ROW(),O2,MetalCurves!$AM$21)</f>
        <v>LMEOptdelta_2¬1</v>
      </c>
      <c r="R2" t="str">
        <f ca="1">_xll.QCube_AggregateCube("LMEOptdeltaAgg_"&amp;ROW(),Q2,"AssetId","Sum")</f>
        <v>LMEOptdeltaAgg_2¬1</v>
      </c>
      <c r="S2" s="53">
        <f ca="1">_xll.QCube_DisplayCubeValueForRow(R2,0)</f>
        <v>129.00710487467791</v>
      </c>
      <c r="T2" t="str">
        <f ca="1">_xll.QRisk_PortfolioFxDelta("LMEOptfxdelta_"&amp;ROW(),O2,MetalCurves!$AM$21,"ZAR")</f>
        <v>LMEOptfxdelta_2¬1</v>
      </c>
      <c r="U2" t="str">
        <f ca="1">_xll.QCube_AggregateCube("LMEOptfxdeltaAgg_"&amp;ROW(),T2,"AssetId","Sum")</f>
        <v>LMEOptfxdeltaAgg_2¬1</v>
      </c>
      <c r="V2" s="53">
        <f ca="1">_xll.QCube_DisplayCubeValueForRow(U2,0)</f>
        <v>520982.07452981931</v>
      </c>
      <c r="W2" s="57" t="str">
        <f ca="1">_xll.QRisk_PortfolioVega("LMEOptVega_"&amp;ROW(),O2,MetalCurves!$AM$21,B2)</f>
        <v>LMEOptVega_2¬1</v>
      </c>
      <c r="X2" s="57" t="str">
        <f ca="1">_xll.QCube_AggregateCube("LMEOptVegaAgg_"&amp;ROW(),W2,"AssetId","Sum")</f>
        <v>LMEOptVegaAgg_2¬1</v>
      </c>
      <c r="Y2" s="81">
        <f ca="1">_xll.QCube_DisplayCubeValueForRow(X2,0)</f>
        <v>3762.1062302208884</v>
      </c>
      <c r="Z2" s="57" t="str">
        <f ca="1">_xll.QRisk_PortfolioFxVega("LMEOptFxVega_"&amp;ROW(),O2,MetalCurves!$AM$21,B2)</f>
        <v>LMEOptFxVega_2¬1</v>
      </c>
      <c r="AA2" s="57" t="str">
        <f ca="1">_xll.QCube_AggregateCube("LMEOptFxVegaAgg_"&amp;ROW(),Z2,"AssetId","Sum")</f>
        <v>LMEOptFxVegaAgg_2¬1</v>
      </c>
      <c r="AB2" s="81">
        <f ca="1">_xll.QCube_DisplayCubeValueForRow(AA2,0)</f>
        <v>2646.8908188844216</v>
      </c>
      <c r="AC2" s="14"/>
      <c r="AG2" s="14"/>
    </row>
    <row r="3" spans="1:33" x14ac:dyDescent="0.25">
      <c r="A3" s="57" t="s">
        <v>3</v>
      </c>
      <c r="B3" s="57" t="s">
        <v>25</v>
      </c>
      <c r="C3" s="48">
        <v>43497</v>
      </c>
      <c r="D3" s="57" t="s">
        <v>79</v>
      </c>
      <c r="E3" s="57" t="s">
        <v>71</v>
      </c>
      <c r="F3" s="57" t="str">
        <f t="shared" ref="F3:F7" si="2">"LON"&amp;IF(B3&lt;&gt;"USD","+"&amp;B3,"")</f>
        <v>LON+ZAR</v>
      </c>
      <c r="G3" s="57" t="s">
        <v>76</v>
      </c>
      <c r="H3" s="3" t="str">
        <f t="shared" ref="H3:H7" si="3">"LON+NYC"&amp;IF(B3&lt;&gt;"USD","+"&amp;B3,"")</f>
        <v>LON+NYC+ZAR</v>
      </c>
      <c r="I3" s="3" t="s">
        <v>76</v>
      </c>
      <c r="J3" s="57" t="str">
        <f>VLOOKUP(B3,FundingFx!$D$18:$E$19,2,FALSE)</f>
        <v>ZAR.DISC.[USD.LIBOR.3M]</v>
      </c>
      <c r="K3" s="57" t="str">
        <f>_xll.QIns_CreateAsianSwap("TAswpOpt0_"&amp;ROW(),C3,A3,B3,0,1,F3,H3,I3,"2b",,J3)</f>
        <v>TAswpOpt0_3¬0</v>
      </c>
      <c r="L3" s="51">
        <f ca="1">_xll.QIns_ProductParRate(K3,MetalCurves!$AM$21)</f>
        <v>25781.230813162976</v>
      </c>
      <c r="M3" s="14">
        <f t="shared" ref="M3:M7" ca="1" si="4">L3</f>
        <v>25781.230813162976</v>
      </c>
      <c r="N3" s="92">
        <f>N2</f>
        <v>3200</v>
      </c>
      <c r="O3" s="57" t="str">
        <f ca="1">_xll.QIns_CreateAsianOption("Topt_"&amp;ROW(),C3,A3,B3,M3,D3,N3,F3,H3,I3,"2b",,J3)</f>
        <v>Topt_3¬1</v>
      </c>
      <c r="P3" s="51">
        <f ca="1">_xll.QIns_ProductPV(O3,MetalCurves!$AM$21)</f>
        <v>1658562.8626309438</v>
      </c>
      <c r="Q3" s="57" t="str">
        <f ca="1">_xll.QRisk_PortfolioDelta("LMEOptdelta_"&amp;ROW(),O3,MetalCurves!$AM$21)</f>
        <v>LMEOptdelta_3¬1</v>
      </c>
      <c r="R3" s="57" t="str">
        <f ca="1">_xll.QCube_AggregateCube("LMEOptdeltaAgg_"&amp;ROW(),Q3,"AssetId","Sum")</f>
        <v>LMEOptdeltaAgg_3¬1</v>
      </c>
      <c r="S3" s="53">
        <f ca="1">_xll.QCube_DisplayCubeValueForRow(R3,0)</f>
        <v>1644.1270556661984</v>
      </c>
      <c r="T3" s="57" t="str">
        <f ca="1">_xll.QRisk_PortfolioFxDelta("LMEOptfxdelta_"&amp;ROW(),O3,MetalCurves!$AM$21,"ZAR")</f>
        <v>LMEOptfxdelta_3¬1</v>
      </c>
      <c r="U3" s="57" t="str">
        <f ca="1">_xll.QCube_AggregateCube("LMEOptfxdeltaAgg_"&amp;ROW(),T3,"AssetId","Sum")</f>
        <v>LMEOptfxdeltaAgg_3¬1</v>
      </c>
      <c r="V3" s="53">
        <f ca="1">_xll.QCube_DisplayCubeValueForRow(U3,0)</f>
        <v>3068717.6301957737</v>
      </c>
      <c r="W3" s="57" t="str">
        <f ca="1">_xll.QRisk_PortfolioVega("LMEOptVega_"&amp;ROW(),O3,MetalCurves!$AM$21,B3)</f>
        <v>LMEOptVega_3¬1</v>
      </c>
      <c r="X3" s="57" t="str">
        <f ca="1">_xll.QCube_AggregateCube("LMEOptVegaAgg_"&amp;ROW(),W3,"AssetId","Sum")</f>
        <v>LMEOptVegaAgg_3¬1</v>
      </c>
      <c r="Y3" s="81">
        <f ca="1">_xll.QCube_DisplayCubeValueForRow(X3,0)</f>
        <v>56597.451551626436</v>
      </c>
      <c r="Z3" s="57" t="str">
        <f ca="1">_xll.QRisk_PortfolioFxVega("LMEOptFxVega_"&amp;ROW(),O3,MetalCurves!$AM$21,B3)</f>
        <v>LMEOptFxVega_3¬1</v>
      </c>
      <c r="AA3" s="57" t="str">
        <f ca="1">_xll.QCube_AggregateCube("LMEOptFxVegaAgg_"&amp;ROW(),Z3,"AssetId","Sum")</f>
        <v>LMEOptFxVegaAgg_3¬1</v>
      </c>
      <c r="AB3" s="81">
        <f ca="1">_xll.QCube_DisplayCubeValueForRow(AA3,0)</f>
        <v>41474.036936035845</v>
      </c>
      <c r="AC3" s="14"/>
      <c r="AG3" s="14"/>
    </row>
    <row r="4" spans="1:33" s="57" customFormat="1" x14ac:dyDescent="0.25">
      <c r="A4" s="57" t="s">
        <v>3</v>
      </c>
      <c r="B4" s="57" t="s">
        <v>25</v>
      </c>
      <c r="C4" s="48">
        <v>43525</v>
      </c>
      <c r="D4" s="57" t="s">
        <v>79</v>
      </c>
      <c r="E4" s="57" t="s">
        <v>71</v>
      </c>
      <c r="F4" s="57" t="str">
        <f t="shared" si="2"/>
        <v>LON+ZAR</v>
      </c>
      <c r="G4" s="57" t="s">
        <v>76</v>
      </c>
      <c r="H4" s="3" t="str">
        <f t="shared" si="3"/>
        <v>LON+NYC+ZAR</v>
      </c>
      <c r="I4" s="3" t="s">
        <v>76</v>
      </c>
      <c r="J4" s="57" t="str">
        <f>VLOOKUP(B4,FundingFx!$D$18:$E$19,2,FALSE)</f>
        <v>ZAR.DISC.[USD.LIBOR.3M]</v>
      </c>
      <c r="K4" s="57" t="str">
        <f>_xll.QIns_CreateAsianSwap("TAswpOpt0_"&amp;ROW(),C4,A4,B4,0,1,F4,H4,I4,"2b",,J4)</f>
        <v>TAswpOpt0_4¬0</v>
      </c>
      <c r="L4" s="51">
        <f ca="1">_xll.QIns_ProductParRate(K4,MetalCurves!$AM$21)</f>
        <v>25973.58528698692</v>
      </c>
      <c r="M4" s="14">
        <f t="shared" ca="1" si="4"/>
        <v>25973.58528698692</v>
      </c>
      <c r="N4" s="92">
        <f t="shared" ref="N4:N7" si="5">N3</f>
        <v>3200</v>
      </c>
      <c r="O4" s="57" t="str">
        <f ca="1">_xll.QIns_CreateAsianOption("Topt_"&amp;ROW(),C4,A4,B4,M4,D4,N4,F4,H4,I4,"2b",,J4)</f>
        <v>Topt_4¬1</v>
      </c>
      <c r="P4" s="51">
        <f ca="1">_xll.QIns_ProductPV(O4,MetalCurves!$AM$21)</f>
        <v>2508312.9241763689</v>
      </c>
      <c r="Q4" s="57" t="str">
        <f ca="1">_xll.QRisk_PortfolioDelta("LMEOptdelta_"&amp;ROW(),O4,MetalCurves!$AM$21)</f>
        <v>LMEOptdelta_4¬1</v>
      </c>
      <c r="R4" s="57" t="str">
        <f ca="1">_xll.QCube_AggregateCube("LMEOptdeltaAgg_"&amp;ROW(),Q4,"AssetId","Sum")</f>
        <v>LMEOptdeltaAgg_4¬1</v>
      </c>
      <c r="S4" s="53">
        <f ca="1">_xll.QCube_DisplayCubeValueForRow(R4,0)</f>
        <v>1658.2421803348932</v>
      </c>
      <c r="T4" s="57" t="str">
        <f ca="1">_xll.QRisk_PortfolioFxDelta("LMEOptfxdelta_"&amp;ROW(),O4,MetalCurves!$AM$21,"ZAR")</f>
        <v>LMEOptfxdelta_4¬1</v>
      </c>
      <c r="U4" s="57" t="str">
        <f ca="1">_xll.QCube_AggregateCube("LMEOptfxdeltaAgg_"&amp;ROW(),T4,"AssetId","Sum")</f>
        <v>LMEOptfxdeltaAgg_4¬1</v>
      </c>
      <c r="V4" s="53">
        <f ca="1">_xll.QCube_DisplayCubeValueForRow(U4,0)</f>
        <v>3101528.7537619253</v>
      </c>
      <c r="W4" s="57" t="str">
        <f ca="1">_xll.QRisk_PortfolioVega("LMEOptVega_"&amp;ROW(),O4,MetalCurves!$AM$21,B4)</f>
        <v>LMEOptVega_4¬1</v>
      </c>
      <c r="X4" s="57" t="str">
        <f ca="1">_xll.QCube_AggregateCube("LMEOptVegaAgg_"&amp;ROW(),W4,"AssetId","Sum")</f>
        <v>LMEOptVegaAgg_4¬1</v>
      </c>
      <c r="Y4" s="81">
        <f ca="1">_xll.QCube_DisplayCubeValueForRow(X4,0)</f>
        <v>83461.91868012771</v>
      </c>
      <c r="Z4" s="57" t="str">
        <f ca="1">_xll.QRisk_PortfolioFxVega("LMEOptFxVega_"&amp;ROW(),O4,MetalCurves!$AM$21,B4)</f>
        <v>LMEOptFxVega_4¬1</v>
      </c>
      <c r="AA4" s="57" t="str">
        <f ca="1">_xll.QCube_AggregateCube("LMEOptFxVegaAgg_"&amp;ROW(),Z4,"AssetId","Sum")</f>
        <v>LMEOptFxVegaAgg_4¬1</v>
      </c>
      <c r="AB4" s="81">
        <f ca="1">_xll.QCube_DisplayCubeValueForRow(AA4,0)</f>
        <v>62235.383624765091</v>
      </c>
      <c r="AC4" s="14"/>
    </row>
    <row r="5" spans="1:33" s="57" customFormat="1" x14ac:dyDescent="0.25">
      <c r="A5" s="57" t="s">
        <v>3</v>
      </c>
      <c r="B5" s="57" t="s">
        <v>25</v>
      </c>
      <c r="C5" s="48">
        <v>43556</v>
      </c>
      <c r="D5" s="57" t="s">
        <v>79</v>
      </c>
      <c r="E5" s="57" t="s">
        <v>71</v>
      </c>
      <c r="F5" s="57" t="str">
        <f t="shared" si="2"/>
        <v>LON+ZAR</v>
      </c>
      <c r="G5" s="57" t="s">
        <v>76</v>
      </c>
      <c r="H5" s="3" t="str">
        <f t="shared" si="3"/>
        <v>LON+NYC+ZAR</v>
      </c>
      <c r="I5" s="3" t="s">
        <v>76</v>
      </c>
      <c r="J5" s="57" t="str">
        <f>VLOOKUP(B5,FundingFx!$D$18:$E$19,2,FALSE)</f>
        <v>ZAR.DISC.[USD.LIBOR.3M]</v>
      </c>
      <c r="K5" s="57" t="str">
        <f>_xll.QIns_CreateAsianSwap("TAswpOpt0_"&amp;ROW(),C5,A5,B5,0,1,F5,H5,I5,"2b",,J5)</f>
        <v>TAswpOpt0_5¬0</v>
      </c>
      <c r="L5" s="51">
        <f ca="1">_xll.QIns_ProductParRate(K5,MetalCurves!$AM$21)</f>
        <v>26064.19339615637</v>
      </c>
      <c r="M5" s="14">
        <f t="shared" ca="1" si="4"/>
        <v>26064.19339615637</v>
      </c>
      <c r="N5" s="92">
        <f t="shared" si="5"/>
        <v>3200</v>
      </c>
      <c r="O5" s="57" t="str">
        <f ca="1">_xll.QIns_CreateAsianOption("Topt_"&amp;ROW(),C5,A5,B5,M5,D5,N5,F5,H5,I5,"2b",,J5)</f>
        <v>Topt_5¬1</v>
      </c>
      <c r="P5" s="51">
        <f ca="1">_xll.QIns_ProductPV(O5,MetalCurves!$AM$21)</f>
        <v>3181055.3946151943</v>
      </c>
      <c r="Q5" s="57" t="str">
        <f ca="1">_xll.QRisk_PortfolioDelta("LMEOptdelta_"&amp;ROW(),O5,MetalCurves!$AM$21)</f>
        <v>LMEOptdelta_5¬1</v>
      </c>
      <c r="R5" s="57" t="str">
        <f ca="1">_xll.QCube_AggregateCube("LMEOptdeltaAgg_"&amp;ROW(),Q5,"AssetId","Sum")</f>
        <v>LMEOptdeltaAgg_5¬1</v>
      </c>
      <c r="S5" s="53">
        <f ca="1">_xll.QCube_DisplayCubeValueForRow(R5,0)</f>
        <v>1669.8228134024455</v>
      </c>
      <c r="T5" s="57" t="str">
        <f ca="1">_xll.QRisk_PortfolioFxDelta("LMEOptfxdelta_"&amp;ROW(),O5,MetalCurves!$AM$21,"ZAR")</f>
        <v>LMEOptfxdelta_5¬1</v>
      </c>
      <c r="U5" s="57" t="str">
        <f ca="1">_xll.QCube_AggregateCube("LMEOptfxdeltaAgg_"&amp;ROW(),T5,"AssetId","Sum")</f>
        <v>LMEOptfxdeltaAgg_5¬1</v>
      </c>
      <c r="V5" s="53">
        <f ca="1">_xll.QCube_DisplayCubeValueForRow(U5,0)</f>
        <v>3115878.7100517657</v>
      </c>
      <c r="W5" s="57" t="str">
        <f ca="1">_xll.QRisk_PortfolioVega("LMEOptVega_"&amp;ROW(),O5,MetalCurves!$AM$21,B5)</f>
        <v>LMEOptVega_5¬1</v>
      </c>
      <c r="X5" s="57" t="str">
        <f ca="1">_xll.QCube_AggregateCube("LMEOptVegaAgg_"&amp;ROW(),W5,"AssetId","Sum")</f>
        <v>LMEOptVegaAgg_5¬1</v>
      </c>
      <c r="Y5" s="81">
        <f ca="1">_xll.QCube_DisplayCubeValueForRow(X5,0)</f>
        <v>103115.00812007114</v>
      </c>
      <c r="Z5" s="57" t="str">
        <f ca="1">_xll.QRisk_PortfolioFxVega("LMEOptFxVega_"&amp;ROW(),O5,MetalCurves!$AM$21,B5)</f>
        <v>LMEOptFxVega_5¬1</v>
      </c>
      <c r="AA5" s="57" t="str">
        <f ca="1">_xll.QCube_AggregateCube("LMEOptFxVegaAgg_"&amp;ROW(),Z5,"AssetId","Sum")</f>
        <v>LMEOptFxVegaAgg_5¬1</v>
      </c>
      <c r="AB5" s="81">
        <f ca="1">_xll.QCube_DisplayCubeValueForRow(AA5,0)</f>
        <v>79346.815373222344</v>
      </c>
      <c r="AC5" s="14"/>
    </row>
    <row r="6" spans="1:33" x14ac:dyDescent="0.25">
      <c r="A6" s="57" t="s">
        <v>3</v>
      </c>
      <c r="B6" s="57" t="s">
        <v>25</v>
      </c>
      <c r="C6" s="48">
        <v>43586</v>
      </c>
      <c r="D6" s="57" t="s">
        <v>79</v>
      </c>
      <c r="E6" s="57" t="s">
        <v>71</v>
      </c>
      <c r="F6" s="57" t="str">
        <f t="shared" si="2"/>
        <v>LON+ZAR</v>
      </c>
      <c r="G6" s="57" t="s">
        <v>76</v>
      </c>
      <c r="H6" s="3" t="str">
        <f t="shared" si="3"/>
        <v>LON+NYC+ZAR</v>
      </c>
      <c r="I6" s="3" t="s">
        <v>76</v>
      </c>
      <c r="J6" s="57" t="str">
        <f>VLOOKUP(B6,FundingFx!$D$18:$E$19,2,FALSE)</f>
        <v>ZAR.DISC.[USD.LIBOR.3M]</v>
      </c>
      <c r="K6" s="57" t="str">
        <f>_xll.QIns_CreateAsianSwap("TAswpOpt0_"&amp;ROW(),C6,A6,B6,0,1,F6,H6,I6,"2b",,J6)</f>
        <v>TAswpOpt0_6¬0</v>
      </c>
      <c r="L6" s="51">
        <f ca="1">_xll.QIns_ProductParRate(K6,MetalCurves!$AM$21)</f>
        <v>26274.242073483107</v>
      </c>
      <c r="M6" s="14">
        <f t="shared" ca="1" si="4"/>
        <v>26274.242073483107</v>
      </c>
      <c r="N6" s="92">
        <f t="shared" si="5"/>
        <v>3200</v>
      </c>
      <c r="O6" s="57" t="str">
        <f ca="1">_xll.QIns_CreateAsianOption("Topt_"&amp;ROW(),C6,A6,B6,M6,D6,N6,F6,H6,I6,"2b",,J6)</f>
        <v>Topt_6¬1</v>
      </c>
      <c r="P6" s="51">
        <f ca="1">_xll.QIns_ProductPV(O6,MetalCurves!$AM$21)</f>
        <v>3785808.8156766901</v>
      </c>
      <c r="Q6" s="57" t="str">
        <f ca="1">_xll.QRisk_PortfolioDelta("LMEOptdelta_"&amp;ROW(),O6,MetalCurves!$AM$21)</f>
        <v>LMEOptdelta_6¬1</v>
      </c>
      <c r="R6" s="57" t="str">
        <f ca="1">_xll.QCube_AggregateCube("LMEOptdeltaAgg_"&amp;ROW(),Q6,"AssetId","Sum")</f>
        <v>LMEOptdeltaAgg_6¬1</v>
      </c>
      <c r="S6" s="53">
        <f ca="1">_xll.QCube_DisplayCubeValueForRow(R6,0)</f>
        <v>1678.5014988131561</v>
      </c>
      <c r="T6" s="57" t="str">
        <f ca="1">_xll.QRisk_PortfolioFxDelta("LMEOptfxdelta_"&amp;ROW(),O6,MetalCurves!$AM$21,"ZAR")</f>
        <v>LMEOptfxdelta_6¬1</v>
      </c>
      <c r="U6" s="57" t="str">
        <f ca="1">_xll.QCube_AggregateCube("LMEOptfxdeltaAgg_"&amp;ROW(),T6,"AssetId","Sum")</f>
        <v>LMEOptfxdeltaAgg_6¬1</v>
      </c>
      <c r="V6" s="53">
        <f ca="1">_xll.QCube_DisplayCubeValueForRow(U6,0)</f>
        <v>3138719.6627223059</v>
      </c>
      <c r="W6" s="57" t="str">
        <f ca="1">_xll.QRisk_PortfolioVega("LMEOptVega_"&amp;ROW(),O6,MetalCurves!$AM$21,B6)</f>
        <v>LMEOptVega_6¬1</v>
      </c>
      <c r="X6" s="57" t="str">
        <f ca="1">_xll.QCube_AggregateCube("LMEOptVegaAgg_"&amp;ROW(),W6,"AssetId","Sum")</f>
        <v>LMEOptVegaAgg_6¬1</v>
      </c>
      <c r="Y6" s="81">
        <f ca="1">_xll.QCube_DisplayCubeValueForRow(X6,0)</f>
        <v>120259.04792559799</v>
      </c>
      <c r="Z6" s="57" t="str">
        <f ca="1">_xll.QRisk_PortfolioFxVega("LMEOptFxVega_"&amp;ROW(),O6,MetalCurves!$AM$21,B6)</f>
        <v>LMEOptFxVega_6¬1</v>
      </c>
      <c r="AA6" s="57" t="str">
        <f ca="1">_xll.QCube_AggregateCube("LMEOptFxVegaAgg_"&amp;ROW(),Z6,"AssetId","Sum")</f>
        <v>LMEOptFxVegaAgg_6¬1</v>
      </c>
      <c r="AB6" s="81">
        <f ca="1">_xll.QCube_DisplayCubeValueForRow(AA6,0)</f>
        <v>95613.270512595773</v>
      </c>
      <c r="AC6" s="14"/>
    </row>
    <row r="7" spans="1:33" s="57" customFormat="1" x14ac:dyDescent="0.25">
      <c r="A7" s="57" t="s">
        <v>3</v>
      </c>
      <c r="B7" s="57" t="s">
        <v>25</v>
      </c>
      <c r="C7" s="48">
        <v>43617</v>
      </c>
      <c r="D7" s="57" t="s">
        <v>79</v>
      </c>
      <c r="E7" s="57" t="s">
        <v>71</v>
      </c>
      <c r="F7" s="57" t="str">
        <f t="shared" si="2"/>
        <v>LON+ZAR</v>
      </c>
      <c r="G7" s="57" t="s">
        <v>76</v>
      </c>
      <c r="H7" s="3" t="str">
        <f t="shared" si="3"/>
        <v>LON+NYC+ZAR</v>
      </c>
      <c r="I7" s="3" t="s">
        <v>76</v>
      </c>
      <c r="J7" s="57" t="str">
        <f>VLOOKUP(B7,FundingFx!$D$18:$E$19,2,FALSE)</f>
        <v>ZAR.DISC.[USD.LIBOR.3M]</v>
      </c>
      <c r="K7" s="57" t="str">
        <f>_xll.QIns_CreateAsianSwap("TAswpOpt0_"&amp;ROW(),C7,A7,B7,0,1,F7,H7,I7,"2b",,J7)</f>
        <v>TAswpOpt0_7¬0</v>
      </c>
      <c r="L7" s="51">
        <f ca="1">_xll.QIns_ProductParRate(K7,MetalCurves!$AM$21)</f>
        <v>26511.148768947853</v>
      </c>
      <c r="M7" s="14">
        <f t="shared" ca="1" si="4"/>
        <v>26511.148768947853</v>
      </c>
      <c r="N7" s="92">
        <f t="shared" si="5"/>
        <v>3200</v>
      </c>
      <c r="O7" s="57" t="str">
        <f ca="1">_xll.QIns_CreateAsianOption("Topt_"&amp;ROW(),C7,A7,B7,M7,D7,N7,F7,H7,I7,"2b",,J7)</f>
        <v>Topt_7¬1</v>
      </c>
      <c r="P7" s="51">
        <f ca="1">_xll.QIns_ProductPV(O7,MetalCurves!$AM$21)</f>
        <v>4297049.0424264139</v>
      </c>
      <c r="Q7" s="57" t="str">
        <f ca="1">_xll.QRisk_PortfolioDelta("LMEOptdelta_"&amp;ROW(),O7,MetalCurves!$AM$21)</f>
        <v>LMEOptdelta_7¬1</v>
      </c>
      <c r="R7" s="57" t="str">
        <f ca="1">_xll.QCube_AggregateCube("LMEOptdeltaAgg_"&amp;ROW(),Q7,"AssetId","Sum")</f>
        <v>LMEOptdeltaAgg_7¬1</v>
      </c>
      <c r="S7" s="53">
        <f ca="1">_xll.QCube_DisplayCubeValueForRow(R7,0)</f>
        <v>1687.6191463464984</v>
      </c>
      <c r="T7" s="57" t="str">
        <f ca="1">_xll.QRisk_PortfolioFxDelta("LMEOptfxdelta_"&amp;ROW(),O7,MetalCurves!$AM$21,"ZAR")</f>
        <v>LMEOptfxdelta_7¬1</v>
      </c>
      <c r="U7" s="57" t="str">
        <f ca="1">_xll.QCube_AggregateCube("LMEOptfxdeltaAgg_"&amp;ROW(),T7,"AssetId","Sum")</f>
        <v>LMEOptfxdeltaAgg_7¬1</v>
      </c>
      <c r="V7" s="53">
        <f ca="1">_xll.QCube_DisplayCubeValueForRow(U7,0)</f>
        <v>3165793.5311863734</v>
      </c>
      <c r="W7" s="57" t="str">
        <f ca="1">_xll.QRisk_PortfolioVega("LMEOptVega_"&amp;ROW(),O7,MetalCurves!$AM$21,B7)</f>
        <v>LMEOptVega_7¬1</v>
      </c>
      <c r="X7" s="57" t="str">
        <f ca="1">_xll.QCube_AggregateCube("LMEOptVegaAgg_"&amp;ROW(),W7,"AssetId","Sum")</f>
        <v>LMEOptVegaAgg_7¬1</v>
      </c>
      <c r="Y7" s="81">
        <f ca="1">_xll.QCube_DisplayCubeValueForRow(X7,0)</f>
        <v>134877.58817607537</v>
      </c>
      <c r="Z7" s="57" t="str">
        <f ca="1">_xll.QRisk_PortfolioFxVega("LMEOptFxVega_"&amp;ROW(),O7,MetalCurves!$AM$21,B7)</f>
        <v>LMEOptFxVega_7¬1</v>
      </c>
      <c r="AA7" s="57" t="str">
        <f ca="1">_xll.QCube_AggregateCube("LMEOptFxVegaAgg_"&amp;ROW(),Z7,"AssetId","Sum")</f>
        <v>LMEOptFxVegaAgg_7¬1</v>
      </c>
      <c r="AB7" s="81">
        <f ca="1">_xll.QCube_DisplayCubeValueForRow(AA7,0)</f>
        <v>109320.65922182985</v>
      </c>
      <c r="AC7" s="14"/>
    </row>
    <row r="8" spans="1:33" s="57" customFormat="1" x14ac:dyDescent="0.25">
      <c r="C8" s="48"/>
      <c r="H8" s="3"/>
      <c r="I8" s="3"/>
      <c r="L8" s="51"/>
      <c r="M8" s="14"/>
      <c r="N8" s="92"/>
      <c r="P8" s="51"/>
      <c r="S8" s="53"/>
      <c r="V8" s="53"/>
      <c r="Y8" s="81"/>
      <c r="AB8" s="81"/>
      <c r="AC8" s="14"/>
    </row>
    <row r="9" spans="1:33" x14ac:dyDescent="0.25">
      <c r="Z9" s="57"/>
      <c r="AA9" s="57"/>
      <c r="AB9" s="81"/>
    </row>
    <row r="10" spans="1:33" s="57" customFormat="1" x14ac:dyDescent="0.25">
      <c r="A10" s="57" t="s">
        <v>3</v>
      </c>
      <c r="B10" s="57" t="s">
        <v>25</v>
      </c>
      <c r="C10" s="48">
        <v>43497</v>
      </c>
      <c r="D10" s="57" t="s">
        <v>79</v>
      </c>
      <c r="E10" s="57" t="s">
        <v>71</v>
      </c>
      <c r="F10" s="57" t="str">
        <f t="shared" ref="F10:F17" si="6">"LON"&amp;IF(B10&lt;&gt;"USD","+"&amp;B10,"")</f>
        <v>LON+ZAR</v>
      </c>
      <c r="G10" s="57" t="s">
        <v>76</v>
      </c>
      <c r="H10" s="3" t="str">
        <f t="shared" ref="H10:H17" si="7">"LON+NYC"&amp;IF(B10&lt;&gt;"USD","+"&amp;B10,"")</f>
        <v>LON+NYC+ZAR</v>
      </c>
      <c r="I10" s="3" t="s">
        <v>76</v>
      </c>
      <c r="J10" s="57" t="str">
        <f>VLOOKUP(B10,FundingFx!$D$18:$E$19,2,FALSE)</f>
        <v>ZAR.DISC.[USD.LIBOR.3M]</v>
      </c>
      <c r="K10" s="57" t="str">
        <f>_xll.QIns_CreateAsianSwap("TAswpOpt0_"&amp;ROW(),C10,A10,B10,0,1,F10,H10,I10,"2b",,J10)</f>
        <v>TAswpOpt0_10¬0</v>
      </c>
      <c r="L10" s="51">
        <f ca="1">_xll.QIns_ProductParRate(K10,MetalCurves!$AM$21)</f>
        <v>25781.230813162976</v>
      </c>
      <c r="M10" s="14">
        <f ca="1">L10*1.1</f>
        <v>28359.353894479274</v>
      </c>
      <c r="N10" s="92">
        <v>1</v>
      </c>
      <c r="O10" s="57" t="str">
        <f ca="1">_xll.QIns_CreateAsianOption("Topt_"&amp;ROW(),C10,A10,B10,M10,D10,N10,F10,H10,I10,"2b",,J10)</f>
        <v>Topt_10¬1</v>
      </c>
      <c r="P10" s="51">
        <f ca="1">_xll.QIns_ProductPV(O10,MetalCurves!$AM$21)</f>
        <v>23.774094038081298</v>
      </c>
      <c r="Q10" s="57" t="str">
        <f ca="1">_xll.QRisk_PortfolioDelta("LMEOptdelta_"&amp;ROW(),O10,MetalCurves!$AM$21)</f>
        <v>LMEOptdelta_10¬1</v>
      </c>
      <c r="R10" s="57" t="str">
        <f ca="1">_xll.QCube_AggregateCube("LMEOptdeltaAgg_"&amp;ROW(),Q10,"AssetId","Sum")</f>
        <v>LMEOptdeltaAgg_10¬1</v>
      </c>
      <c r="S10" s="53">
        <f ca="1">_xll.QCube_DisplayCubeValueForRow(R10,0)</f>
        <v>4.0240394718070595E-2</v>
      </c>
      <c r="T10" s="57" t="str">
        <f ca="1">_xll.QRisk_PortfolioFxDelta("LMEOptfxdelta_"&amp;ROW(),O10,MetalCurves!$AM$21,"ZAR")</f>
        <v>LMEOptfxdelta_10¬1</v>
      </c>
      <c r="U10" s="57" t="str">
        <f ca="1">_xll.QCube_AggregateCube("LMEOptfxdeltaAgg_"&amp;ROW(),T10,"AssetId","Sum")</f>
        <v>LMEOptfxdeltaAgg_10¬1</v>
      </c>
      <c r="V10" s="53">
        <f ca="1">_xll.QCube_DisplayCubeValueForRow(U10,0)</f>
        <v>75.026507855154847</v>
      </c>
      <c r="W10" s="57" t="str">
        <f ca="1">_xll.QRisk_PortfolioVega("LMEOptVega_"&amp;ROW(),O10,MetalCurves!$AM$21,B10)</f>
        <v>LMEOptVega_10¬1</v>
      </c>
      <c r="X10" s="57" t="str">
        <f ca="1">_xll.QCube_AggregateCube("deltaAgg_"&amp;ROW(),W10,"AssetId","Sum")</f>
        <v>deltaAgg_10¬2</v>
      </c>
      <c r="Y10" s="53">
        <f ca="1">_xll.QCube_DisplayCubeValueForRow(X10,0)</f>
        <v>4.0675114771324417</v>
      </c>
      <c r="Z10" s="57" t="str">
        <f ca="1">_xll.QRisk_PortfolioFxVega("LMEOptFxVega_"&amp;ROW(),O10,MetalCurves!$AM$21,B10)</f>
        <v>LMEOptFxVega_10¬1</v>
      </c>
      <c r="AA10" s="57" t="str">
        <f ca="1">_xll.QCube_AggregateCube("LMEOptFxVegaAgg_"&amp;ROW(),Z10,"AssetId","Sum")</f>
        <v>LMEOptFxVegaAgg_10¬1</v>
      </c>
      <c r="AB10" s="81">
        <f ca="1">_xll.QCube_DisplayCubeValueForRow(AA10,0)</f>
        <v>2.5559469246751121</v>
      </c>
    </row>
    <row r="11" spans="1:33" s="57" customFormat="1" x14ac:dyDescent="0.25">
      <c r="A11" s="57" t="s">
        <v>3</v>
      </c>
      <c r="B11" s="57" t="s">
        <v>25</v>
      </c>
      <c r="C11" s="48">
        <v>43525</v>
      </c>
      <c r="D11" s="57" t="s">
        <v>79</v>
      </c>
      <c r="E11" s="57" t="s">
        <v>71</v>
      </c>
      <c r="F11" s="57" t="str">
        <f t="shared" si="6"/>
        <v>LON+ZAR</v>
      </c>
      <c r="G11" s="57" t="s">
        <v>76</v>
      </c>
      <c r="H11" s="3" t="str">
        <f t="shared" si="7"/>
        <v>LON+NYC+ZAR</v>
      </c>
      <c r="I11" s="3" t="s">
        <v>76</v>
      </c>
      <c r="J11" s="57" t="str">
        <f>VLOOKUP(B11,FundingFx!$D$18:$E$19,2,FALSE)</f>
        <v>ZAR.DISC.[USD.LIBOR.3M]</v>
      </c>
      <c r="K11" s="57" t="str">
        <f>_xll.QIns_CreateAsianSwap("TAswpOpt0_"&amp;ROW(),C11,A11,B11,0,1,F11,H11,I11,"2b",,J11)</f>
        <v>TAswpOpt0_11¬0</v>
      </c>
      <c r="L11" s="51">
        <f ca="1">_xll.QIns_ProductParRate(K11,MetalCurves!$AM$21)</f>
        <v>25973.58528698692</v>
      </c>
      <c r="M11" s="14">
        <f t="shared" ref="M11:M17" ca="1" si="8">L11*1.1</f>
        <v>28570.943815685612</v>
      </c>
      <c r="N11" s="92">
        <v>1</v>
      </c>
      <c r="O11" s="57" t="str">
        <f ca="1">_xll.QIns_CreateAsianOption("Topt_"&amp;ROW(),C11,A11,B11,M11,D11,N11,F11,H11,I11,"2b",,J11)</f>
        <v>Topt_11¬1</v>
      </c>
      <c r="P11" s="51">
        <f ca="1">_xll.QIns_ProductPV(O11,MetalCurves!$AM$21)</f>
        <v>127.1527156720465</v>
      </c>
      <c r="Q11" s="57" t="str">
        <f ca="1">_xll.QRisk_PortfolioDelta("LMEOptdelta_"&amp;ROW(),O11,MetalCurves!$AM$21)</f>
        <v>LMEOptdelta_11¬1</v>
      </c>
      <c r="R11" s="57" t="str">
        <f ca="1">_xll.QCube_AggregateCube("LMEOptdeltaAgg_"&amp;ROW(),Q11,"AssetId","Sum")</f>
        <v>LMEOptdeltaAgg_11¬1</v>
      </c>
      <c r="S11" s="53">
        <f ca="1">_xll.QCube_DisplayCubeValueForRow(R11,0)</f>
        <v>0.11655242085118817</v>
      </c>
      <c r="T11" s="57" t="str">
        <f ca="1">_xll.QRisk_PortfolioFxDelta("LMEOptfxdelta_"&amp;ROW(),O11,MetalCurves!$AM$21,"ZAR")</f>
        <v>LMEOptfxdelta_11¬1</v>
      </c>
      <c r="U11" s="57" t="str">
        <f ca="1">_xll.QCube_AggregateCube("LMEOptfxdeltaAgg_"&amp;ROW(),T11,"AssetId","Sum")</f>
        <v>LMEOptfxdeltaAgg_11¬1</v>
      </c>
      <c r="V11" s="53">
        <f ca="1">_xll.QCube_DisplayCubeValueForRow(U11,0)</f>
        <v>217.90225631352655</v>
      </c>
      <c r="W11" s="57" t="str">
        <f ca="1">_xll.QRisk_PortfolioVega("LMEOptVega_"&amp;ROW(),O11,MetalCurves!$AM$21,B11)</f>
        <v>LMEOptVega_11¬1</v>
      </c>
      <c r="X11" s="57" t="str">
        <f ca="1">_xll.QCube_AggregateCube("deltaAgg_"&amp;ROW(),W11,"AssetId","Sum")</f>
        <v>deltaAgg_11¬2</v>
      </c>
      <c r="Y11" s="53">
        <f ca="1">_xll.QCube_DisplayCubeValueForRow(X11,0)</f>
        <v>13.170491556419108</v>
      </c>
      <c r="Z11" s="57" t="str">
        <f ca="1">_xll.QRisk_PortfolioFxVega("LMEOptFxVega_"&amp;ROW(),O11,MetalCurves!$AM$21,B11)</f>
        <v>LMEOptFxVega_11¬1</v>
      </c>
      <c r="AA11" s="57" t="str">
        <f ca="1">_xll.QCube_AggregateCube("LMEOptFxVegaAgg_"&amp;ROW(),Z11,"AssetId","Sum")</f>
        <v>LMEOptFxVegaAgg_11¬1</v>
      </c>
      <c r="AB11" s="81">
        <f ca="1">_xll.QCube_DisplayCubeValueForRow(AA11,0)</f>
        <v>9.1461562705150357</v>
      </c>
    </row>
    <row r="12" spans="1:33" s="57" customFormat="1" x14ac:dyDescent="0.25">
      <c r="A12" s="57" t="s">
        <v>3</v>
      </c>
      <c r="B12" s="57" t="s">
        <v>25</v>
      </c>
      <c r="C12" s="48">
        <v>43709</v>
      </c>
      <c r="D12" s="57" t="s">
        <v>79</v>
      </c>
      <c r="E12" s="57" t="s">
        <v>71</v>
      </c>
      <c r="F12" s="57" t="str">
        <f t="shared" si="6"/>
        <v>LON+ZAR</v>
      </c>
      <c r="G12" s="57" t="s">
        <v>76</v>
      </c>
      <c r="H12" s="3" t="str">
        <f t="shared" si="7"/>
        <v>LON+NYC+ZAR</v>
      </c>
      <c r="I12" s="3" t="s">
        <v>76</v>
      </c>
      <c r="J12" s="57" t="str">
        <f>VLOOKUP(B12,FundingFx!$D$18:$E$19,2,FALSE)</f>
        <v>ZAR.DISC.[USD.LIBOR.3M]</v>
      </c>
      <c r="K12" s="57" t="str">
        <f>_xll.QIns_CreateAsianSwap("TAswpOpt0_"&amp;ROW(),C12,A12,B12,0,1,F12,H12,I12,"2b",,J12)</f>
        <v>TAswpOpt0_12¬0</v>
      </c>
      <c r="L12" s="51">
        <f ca="1">_xll.QIns_ProductParRate(K12,MetalCurves!$AM$21)</f>
        <v>27089.859981828493</v>
      </c>
      <c r="M12" s="14">
        <f t="shared" ca="1" si="8"/>
        <v>29798.845980011345</v>
      </c>
      <c r="N12" s="92">
        <v>1</v>
      </c>
      <c r="O12" s="57" t="str">
        <f ca="1">_xll.QIns_CreateAsianOption("Topt_"&amp;ROW(),C12,A12,B12,M12,D12,N12,F12,H12,I12,"2b",,J12)</f>
        <v>Topt_12¬1</v>
      </c>
      <c r="P12" s="51">
        <f ca="1">_xll.QIns_ProductPV(O12,MetalCurves!$AM$21)</f>
        <v>841.66260329003956</v>
      </c>
      <c r="Q12" s="57" t="str">
        <f ca="1">_xll.QRisk_PortfolioDelta("LMEOptdelta_"&amp;ROW(),O12,MetalCurves!$AM$21)</f>
        <v>LMEOptdelta_12¬1</v>
      </c>
      <c r="R12" s="57" t="str">
        <f ca="1">_xll.QCube_AggregateCube("LMEOptdeltaAgg_"&amp;ROW(),Q12,"AssetId","Sum")</f>
        <v>LMEOptdeltaAgg_12¬1</v>
      </c>
      <c r="S12" s="53">
        <f ca="1">_xll.QCube_DisplayCubeValueForRow(R12,0)</f>
        <v>0.30419279816456046</v>
      </c>
      <c r="T12" s="57" t="str">
        <f ca="1">_xll.QRisk_PortfolioFxDelta("LMEOptfxdelta_"&amp;ROW(),O12,MetalCurves!$AM$21,"ZAR")</f>
        <v>LMEOptfxdelta_12¬1</v>
      </c>
      <c r="U12" s="57" t="str">
        <f ca="1">_xll.QCube_AggregateCube("LMEOptfxdeltaAgg_"&amp;ROW(),T12,"AssetId","Sum")</f>
        <v>LMEOptfxdeltaAgg_12¬1</v>
      </c>
      <c r="V12" s="53">
        <f ca="1">_xll.QCube_DisplayCubeValueForRow(U12,0)</f>
        <v>572.37195033316129</v>
      </c>
      <c r="W12" s="57" t="str">
        <f ca="1">_xll.QRisk_PortfolioVega("LMEOptVega_"&amp;ROW(),O12,MetalCurves!$AM$21,B12)</f>
        <v>LMEOptVega_12¬1</v>
      </c>
      <c r="X12" s="57" t="str">
        <f ca="1">_xll.QCube_AggregateCube("deltaAgg_"&amp;ROW(),W12,"AssetId","Sum")</f>
        <v>deltaAgg_12¬2</v>
      </c>
      <c r="Y12" s="53">
        <f ca="1">_xll.QCube_DisplayCubeValueForRow(X12,0)</f>
        <v>46.958449555193056</v>
      </c>
      <c r="Z12" s="57" t="str">
        <f ca="1">_xll.QRisk_PortfolioFxVega("LMEOptFxVega_"&amp;ROW(),O12,MetalCurves!$AM$21,B12)</f>
        <v>LMEOptFxVega_12¬1</v>
      </c>
      <c r="AA12" s="57" t="str">
        <f ca="1">_xll.QCube_AggregateCube("LMEOptFxVegaAgg_"&amp;ROW(),Z12,"AssetId","Sum")</f>
        <v>LMEOptFxVegaAgg_12¬1</v>
      </c>
      <c r="AB12" s="81">
        <f ca="1">_xll.QCube_DisplayCubeValueForRow(AA12,0)</f>
        <v>38.718532066665148</v>
      </c>
    </row>
    <row r="13" spans="1:33" s="57" customFormat="1" x14ac:dyDescent="0.25">
      <c r="A13" s="57" t="s">
        <v>3</v>
      </c>
      <c r="B13" s="57" t="s">
        <v>25</v>
      </c>
      <c r="C13" s="48">
        <v>43739</v>
      </c>
      <c r="D13" s="57" t="s">
        <v>79</v>
      </c>
      <c r="E13" s="57" t="s">
        <v>71</v>
      </c>
      <c r="F13" s="57" t="str">
        <f t="shared" si="6"/>
        <v>LON+ZAR</v>
      </c>
      <c r="G13" s="57" t="s">
        <v>76</v>
      </c>
      <c r="H13" s="3" t="str">
        <f t="shared" si="7"/>
        <v>LON+NYC+ZAR</v>
      </c>
      <c r="I13" s="3" t="s">
        <v>76</v>
      </c>
      <c r="J13" s="57" t="str">
        <f>VLOOKUP(B13,FundingFx!$D$18:$E$19,2,FALSE)</f>
        <v>ZAR.DISC.[USD.LIBOR.3M]</v>
      </c>
      <c r="K13" s="57" t="str">
        <f>_xll.QIns_CreateAsianSwap("TAswpOpt0_"&amp;ROW(),C13,A13,B13,0,1,F13,H13,I13,"2b",,J13)</f>
        <v>TAswpOpt0_13¬0</v>
      </c>
      <c r="L13" s="51">
        <f ca="1">_xll.QIns_ProductParRate(K13,MetalCurves!$AM$21)</f>
        <v>27300.080818299662</v>
      </c>
      <c r="M13" s="14">
        <f t="shared" ca="1" si="8"/>
        <v>30030.088900129631</v>
      </c>
      <c r="N13" s="92">
        <v>1</v>
      </c>
      <c r="O13" s="57" t="str">
        <f ca="1">_xll.QIns_CreateAsianOption("Topt_"&amp;ROW(),C13,A13,B13,M13,D13,N13,F13,H13,I13,"2b",,J13)</f>
        <v>Topt_13¬1</v>
      </c>
      <c r="P13" s="51">
        <f ca="1">_xll.QIns_ProductPV(O13,MetalCurves!$AM$21)</f>
        <v>942.80214095929193</v>
      </c>
      <c r="Q13" s="57" t="str">
        <f ca="1">_xll.QRisk_PortfolioDelta("LMEOptdelta_"&amp;ROW(),O13,MetalCurves!$AM$21)</f>
        <v>LMEOptdelta_13¬1</v>
      </c>
      <c r="R13" s="57" t="str">
        <f ca="1">_xll.QCube_AggregateCube("LMEOptdeltaAgg_"&amp;ROW(),Q13,"AssetId","Sum")</f>
        <v>LMEOptdeltaAgg_13¬1</v>
      </c>
      <c r="S13" s="53">
        <f ca="1">_xll.QCube_DisplayCubeValueForRow(R13,0)</f>
        <v>0.31765318379620411</v>
      </c>
      <c r="T13" s="57" t="str">
        <f ca="1">_xll.QRisk_PortfolioFxDelta("LMEOptfxdelta_"&amp;ROW(),O13,MetalCurves!$AM$21,"ZAR")</f>
        <v>LMEOptfxdelta_13¬1</v>
      </c>
      <c r="U13" s="57" t="str">
        <f ca="1">_xll.QCube_AggregateCube("LMEOptfxdeltaAgg_"&amp;ROW(),T13,"AssetId","Sum")</f>
        <v>LMEOptfxdeltaAgg_13¬1</v>
      </c>
      <c r="V13" s="53">
        <f ca="1">_xll.QCube_DisplayCubeValueForRow(U13,0)</f>
        <v>598.52125870357702</v>
      </c>
      <c r="W13" s="57" t="str">
        <f ca="1">_xll.QRisk_PortfolioVega("LMEOptVega_"&amp;ROW(),O13,MetalCurves!$AM$21,B13)</f>
        <v>LMEOptVega_13¬1</v>
      </c>
      <c r="X13" s="57" t="str">
        <f ca="1">_xll.QCube_AggregateCube("deltaAgg_"&amp;ROW(),W13,"AssetId","Sum")</f>
        <v>deltaAgg_13¬2</v>
      </c>
      <c r="Y13" s="53">
        <f ca="1">_xll.QCube_DisplayCubeValueForRow(X13,0)</f>
        <v>50.579427542649</v>
      </c>
      <c r="Z13" s="57" t="str">
        <f ca="1">_xll.QRisk_PortfolioFxVega("LMEOptFxVega_"&amp;ROW(),O13,MetalCurves!$AM$21,B13)</f>
        <v>LMEOptFxVega_13¬1</v>
      </c>
      <c r="AA13" s="57" t="str">
        <f ca="1">_xll.QCube_AggregateCube("LMEOptFxVegaAgg_"&amp;ROW(),Z13,"AssetId","Sum")</f>
        <v>LMEOptFxVegaAgg_13¬1</v>
      </c>
      <c r="AB13" s="81">
        <f ca="1">_xll.QCube_DisplayCubeValueForRow(AA13,0)</f>
        <v>42.358600759999945</v>
      </c>
    </row>
    <row r="14" spans="1:33" s="57" customFormat="1" x14ac:dyDescent="0.25">
      <c r="A14" s="57" t="s">
        <v>3</v>
      </c>
      <c r="B14" s="57" t="s">
        <v>25</v>
      </c>
      <c r="C14" s="48">
        <f>C10</f>
        <v>43497</v>
      </c>
      <c r="D14" s="57" t="s">
        <v>79</v>
      </c>
      <c r="E14" s="57" t="s">
        <v>71</v>
      </c>
      <c r="F14" s="57" t="str">
        <f t="shared" si="6"/>
        <v>LON+ZAR</v>
      </c>
      <c r="G14" s="57" t="s">
        <v>76</v>
      </c>
      <c r="H14" s="3" t="str">
        <f t="shared" si="7"/>
        <v>LON+NYC+ZAR</v>
      </c>
      <c r="I14" s="3" t="s">
        <v>76</v>
      </c>
      <c r="J14" s="57" t="str">
        <f>VLOOKUP(B14,FundingFx!$D$18:$E$19,2,FALSE)</f>
        <v>ZAR.DISC.[USD.LIBOR.3M]</v>
      </c>
      <c r="K14" s="57" t="str">
        <f>_xll.QIns_CreateAsianSwap("TAswpOpt0_"&amp;ROW(),C14,A14,B14,0,1,F14,H14,I14,"2b",,J14)</f>
        <v>TAswpOpt0_14¬0</v>
      </c>
      <c r="L14" s="51">
        <f ca="1">_xll.QIns_ProductParRate(K14,MetalCurves!$AM$21)</f>
        <v>25781.230813162976</v>
      </c>
      <c r="M14" s="14">
        <f t="shared" ca="1" si="8"/>
        <v>28359.353894479274</v>
      </c>
      <c r="N14" s="92">
        <v>1</v>
      </c>
      <c r="O14" s="57" t="str">
        <f ca="1">_xll.QIns_CreateAsianOption("Topt_"&amp;ROW(),C14,A14,B14,M14,D14,N14,F14,H14,I14,"2b",,J14)</f>
        <v>Topt_14¬1</v>
      </c>
      <c r="P14" s="51">
        <f ca="1">_xll.QIns_ProductPV(O14,MetalCurves!$AM$21)</f>
        <v>23.774094038081298</v>
      </c>
      <c r="Q14" s="57" t="str">
        <f ca="1">_xll.QRisk_PortfolioDelta("LMEOptdelta_"&amp;ROW(),O14,MetalCurves!$AM$21)</f>
        <v>LMEOptdelta_14¬1</v>
      </c>
      <c r="R14" s="57" t="str">
        <f ca="1">_xll.QCube_AggregateCube("LMEOptdeltaAgg_"&amp;ROW(),Q14,"AssetId","Sum")</f>
        <v>LMEOptdeltaAgg_14¬1</v>
      </c>
      <c r="S14" s="53">
        <f ca="1">_xll.QCube_DisplayCubeValueForRow(R14,0)</f>
        <v>4.0240394718070595E-2</v>
      </c>
      <c r="T14" s="57" t="str">
        <f ca="1">_xll.QRisk_PortfolioFxDelta("LMEOptfxdelta_"&amp;ROW(),O14,MetalCurves!$AM$21,"ZAR")</f>
        <v>LMEOptfxdelta_14¬1</v>
      </c>
      <c r="U14" s="57" t="str">
        <f ca="1">_xll.QCube_AggregateCube("LMEOptfxdeltaAgg_"&amp;ROW(),T14,"AssetId","Sum")</f>
        <v>LMEOptfxdeltaAgg_14¬1</v>
      </c>
      <c r="V14" s="53">
        <f ca="1">_xll.QCube_DisplayCubeValueForRow(U14,0)</f>
        <v>75.026507855154847</v>
      </c>
      <c r="W14" s="57" t="str">
        <f ca="1">_xll.QRisk_PortfolioVega("LMEOptVega_"&amp;ROW(),O14,MetalCurves!$AM$21,B14)</f>
        <v>LMEOptVega_14¬1</v>
      </c>
      <c r="X14" s="57" t="str">
        <f ca="1">_xll.QCube_AggregateCube("deltaAgg_"&amp;ROW(),W14,"AssetId","Sum")</f>
        <v>deltaAgg_14¬2</v>
      </c>
      <c r="Y14" s="53">
        <f ca="1">_xll.QCube_DisplayCubeValueForRow(X14,0)</f>
        <v>4.0675114771324417</v>
      </c>
      <c r="Z14" s="57" t="str">
        <f ca="1">_xll.QRisk_PortfolioFxVega("LMEOptFxVega_"&amp;ROW(),O14,MetalCurves!$AM$21,B14)</f>
        <v>LMEOptFxVega_14¬1</v>
      </c>
      <c r="AA14" s="57" t="str">
        <f ca="1">_xll.QCube_AggregateCube("LMEOptFxVegaAgg_"&amp;ROW(),Z14,"AssetId","Sum")</f>
        <v>LMEOptFxVegaAgg_14¬1</v>
      </c>
      <c r="AB14" s="81">
        <f ca="1">_xll.QCube_DisplayCubeValueForRow(AA14,0)</f>
        <v>2.5559469246751121</v>
      </c>
    </row>
    <row r="15" spans="1:33" s="57" customFormat="1" x14ac:dyDescent="0.25">
      <c r="A15" s="57" t="s">
        <v>3</v>
      </c>
      <c r="B15" s="57" t="s">
        <v>25</v>
      </c>
      <c r="C15" s="48">
        <f t="shared" ref="C15:C17" si="9">C11</f>
        <v>43525</v>
      </c>
      <c r="D15" s="57" t="s">
        <v>79</v>
      </c>
      <c r="E15" s="57" t="s">
        <v>71</v>
      </c>
      <c r="F15" s="57" t="str">
        <f t="shared" si="6"/>
        <v>LON+ZAR</v>
      </c>
      <c r="G15" s="57" t="s">
        <v>76</v>
      </c>
      <c r="H15" s="3" t="str">
        <f t="shared" si="7"/>
        <v>LON+NYC+ZAR</v>
      </c>
      <c r="I15" s="3" t="s">
        <v>76</v>
      </c>
      <c r="J15" s="57" t="str">
        <f>VLOOKUP(B15,FundingFx!$D$18:$E$19,2,FALSE)</f>
        <v>ZAR.DISC.[USD.LIBOR.3M]</v>
      </c>
      <c r="K15" s="57" t="str">
        <f>_xll.QIns_CreateAsianSwap("TAswpOpt0_"&amp;ROW(),C15,A15,B15,0,1,F15,H15,I15,"2b",,J15)</f>
        <v>TAswpOpt0_15¬0</v>
      </c>
      <c r="L15" s="51">
        <f ca="1">_xll.QIns_ProductParRate(K15,MetalCurves!$AM$21)</f>
        <v>25973.58528698692</v>
      </c>
      <c r="M15" s="14">
        <f t="shared" ca="1" si="8"/>
        <v>28570.943815685612</v>
      </c>
      <c r="N15" s="92">
        <v>1</v>
      </c>
      <c r="O15" s="57" t="str">
        <f ca="1">_xll.QIns_CreateAsianOption("Topt_"&amp;ROW(),C15,A15,B15,M15,D15,N15,F15,H15,I15,"2b",,J15)</f>
        <v>Topt_15¬1</v>
      </c>
      <c r="P15" s="51">
        <f ca="1">_xll.QIns_ProductPV(O15,MetalCurves!$AM$21)</f>
        <v>127.1527156720465</v>
      </c>
      <c r="Q15" s="57" t="str">
        <f ca="1">_xll.QRisk_PortfolioDelta("LMEOptdelta_"&amp;ROW(),O15,MetalCurves!$AM$21)</f>
        <v>LMEOptdelta_15¬1</v>
      </c>
      <c r="R15" s="57" t="str">
        <f ca="1">_xll.QCube_AggregateCube("LMEOptdeltaAgg_"&amp;ROW(),Q15,"AssetId","Sum")</f>
        <v>LMEOptdeltaAgg_15¬1</v>
      </c>
      <c r="S15" s="53">
        <f ca="1">_xll.QCube_DisplayCubeValueForRow(R15,0)</f>
        <v>0.11655242085118817</v>
      </c>
      <c r="T15" s="57" t="str">
        <f ca="1">_xll.QRisk_PortfolioFxDelta("LMEOptfxdelta_"&amp;ROW(),O15,MetalCurves!$AM$21,"ZAR")</f>
        <v>LMEOptfxdelta_15¬1</v>
      </c>
      <c r="U15" s="57" t="str">
        <f ca="1">_xll.QCube_AggregateCube("LMEOptfxdeltaAgg_"&amp;ROW(),T15,"AssetId","Sum")</f>
        <v>LMEOptfxdeltaAgg_15¬1</v>
      </c>
      <c r="V15" s="53">
        <f ca="1">_xll.QCube_DisplayCubeValueForRow(U15,0)</f>
        <v>217.90225631352655</v>
      </c>
      <c r="W15" s="57" t="str">
        <f ca="1">_xll.QRisk_PortfolioVega("LMEOptVega_"&amp;ROW(),O15,MetalCurves!$AM$21,B15)</f>
        <v>LMEOptVega_15¬1</v>
      </c>
      <c r="X15" s="57" t="str">
        <f ca="1">_xll.QCube_AggregateCube("deltaAgg_"&amp;ROW(),W15,"AssetId","Sum")</f>
        <v>deltaAgg_15¬2</v>
      </c>
      <c r="Y15" s="53">
        <f ca="1">_xll.QCube_DisplayCubeValueForRow(X15,0)</f>
        <v>13.170491556419108</v>
      </c>
      <c r="Z15" s="57" t="str">
        <f ca="1">_xll.QRisk_PortfolioFxVega("LMEOptFxVega_"&amp;ROW(),O15,MetalCurves!$AM$21,B15)</f>
        <v>LMEOptFxVega_15¬1</v>
      </c>
      <c r="AA15" s="57" t="str">
        <f ca="1">_xll.QCube_AggregateCube("LMEOptFxVegaAgg_"&amp;ROW(),Z15,"AssetId","Sum")</f>
        <v>LMEOptFxVegaAgg_15¬1</v>
      </c>
      <c r="AB15" s="81">
        <f ca="1">_xll.QCube_DisplayCubeValueForRow(AA15,0)</f>
        <v>9.1461562705150357</v>
      </c>
    </row>
    <row r="16" spans="1:33" s="57" customFormat="1" x14ac:dyDescent="0.25">
      <c r="A16" s="57" t="s">
        <v>3</v>
      </c>
      <c r="B16" s="57" t="s">
        <v>25</v>
      </c>
      <c r="C16" s="48">
        <f t="shared" si="9"/>
        <v>43709</v>
      </c>
      <c r="D16" s="57" t="s">
        <v>79</v>
      </c>
      <c r="E16" s="57" t="s">
        <v>71</v>
      </c>
      <c r="F16" s="57" t="str">
        <f t="shared" si="6"/>
        <v>LON+ZAR</v>
      </c>
      <c r="G16" s="57" t="s">
        <v>76</v>
      </c>
      <c r="H16" s="3" t="str">
        <f t="shared" si="7"/>
        <v>LON+NYC+ZAR</v>
      </c>
      <c r="I16" s="3" t="s">
        <v>76</v>
      </c>
      <c r="J16" s="57" t="str">
        <f>VLOOKUP(B16,FundingFx!$D$18:$E$19,2,FALSE)</f>
        <v>ZAR.DISC.[USD.LIBOR.3M]</v>
      </c>
      <c r="K16" s="57" t="str">
        <f>_xll.QIns_CreateAsianSwap("TAswpOpt0_"&amp;ROW(),C16,A16,B16,0,1,F16,H16,I16,"2b",,J16)</f>
        <v>TAswpOpt0_16¬0</v>
      </c>
      <c r="L16" s="51">
        <f ca="1">_xll.QIns_ProductParRate(K16,MetalCurves!$AM$21)</f>
        <v>27089.859981828493</v>
      </c>
      <c r="M16" s="14">
        <f t="shared" ca="1" si="8"/>
        <v>29798.845980011345</v>
      </c>
      <c r="N16" s="92">
        <v>1</v>
      </c>
      <c r="O16" s="57" t="str">
        <f ca="1">_xll.QIns_CreateAsianOption("Topt_"&amp;ROW(),C16,A16,B16,M16,D16,N16,F16,H16,I16,"2b",,J16)</f>
        <v>Topt_16¬1</v>
      </c>
      <c r="P16" s="51">
        <f ca="1">_xll.QIns_ProductPV(O16,MetalCurves!$AM$21)</f>
        <v>841.66260329003956</v>
      </c>
      <c r="Q16" s="57" t="str">
        <f ca="1">_xll.QRisk_PortfolioDelta("LMEOptdelta_"&amp;ROW(),O16,MetalCurves!$AM$21)</f>
        <v>LMEOptdelta_16¬1</v>
      </c>
      <c r="R16" s="57" t="str">
        <f ca="1">_xll.QCube_AggregateCube("LMEOptdeltaAgg_"&amp;ROW(),Q16,"AssetId","Sum")</f>
        <v>LMEOptdeltaAgg_16¬1</v>
      </c>
      <c r="S16" s="53">
        <f ca="1">_xll.QCube_DisplayCubeValueForRow(R16,0)</f>
        <v>0.30419279816456046</v>
      </c>
      <c r="T16" s="57" t="str">
        <f ca="1">_xll.QRisk_PortfolioFxDelta("LMEOptfxdelta_"&amp;ROW(),O16,MetalCurves!$AM$21,"ZAR")</f>
        <v>LMEOptfxdelta_16¬1</v>
      </c>
      <c r="U16" s="57" t="str">
        <f ca="1">_xll.QCube_AggregateCube("LMEOptfxdeltaAgg_"&amp;ROW(),T16,"AssetId","Sum")</f>
        <v>LMEOptfxdeltaAgg_16¬1</v>
      </c>
      <c r="V16" s="53">
        <f ca="1">_xll.QCube_DisplayCubeValueForRow(U16,0)</f>
        <v>572.37195033316129</v>
      </c>
      <c r="W16" s="57" t="str">
        <f ca="1">_xll.QRisk_PortfolioVega("LMEOptVega_"&amp;ROW(),O16,MetalCurves!$AM$21,B16)</f>
        <v>LMEOptVega_16¬1</v>
      </c>
      <c r="X16" s="57" t="str">
        <f ca="1">_xll.QCube_AggregateCube("deltaAgg_"&amp;ROW(),W16,"AssetId","Sum")</f>
        <v>deltaAgg_16¬2</v>
      </c>
      <c r="Y16" s="53">
        <f ca="1">_xll.QCube_DisplayCubeValueForRow(X16,0)</f>
        <v>46.958449555193056</v>
      </c>
      <c r="Z16" s="57" t="str">
        <f ca="1">_xll.QRisk_PortfolioFxVega("LMEOptFxVega_"&amp;ROW(),O16,MetalCurves!$AM$21,B16)</f>
        <v>LMEOptFxVega_16¬1</v>
      </c>
      <c r="AA16" s="57" t="str">
        <f ca="1">_xll.QCube_AggregateCube("LMEOptFxVegaAgg_"&amp;ROW(),Z16,"AssetId","Sum")</f>
        <v>LMEOptFxVegaAgg_16¬1</v>
      </c>
      <c r="AB16" s="81">
        <f ca="1">_xll.QCube_DisplayCubeValueForRow(AA16,0)</f>
        <v>38.718532066665148</v>
      </c>
    </row>
    <row r="17" spans="1:33" s="57" customFormat="1" x14ac:dyDescent="0.25">
      <c r="A17" s="57" t="s">
        <v>3</v>
      </c>
      <c r="B17" s="57" t="s">
        <v>25</v>
      </c>
      <c r="C17" s="48">
        <f t="shared" si="9"/>
        <v>43739</v>
      </c>
      <c r="D17" s="57" t="s">
        <v>79</v>
      </c>
      <c r="E17" s="57" t="s">
        <v>71</v>
      </c>
      <c r="F17" s="57" t="str">
        <f t="shared" si="6"/>
        <v>LON+ZAR</v>
      </c>
      <c r="G17" s="57" t="s">
        <v>76</v>
      </c>
      <c r="H17" s="3" t="str">
        <f t="shared" si="7"/>
        <v>LON+NYC+ZAR</v>
      </c>
      <c r="I17" s="3" t="s">
        <v>76</v>
      </c>
      <c r="J17" s="57" t="str">
        <f>VLOOKUP(B17,FundingFx!$D$18:$E$19,2,FALSE)</f>
        <v>ZAR.DISC.[USD.LIBOR.3M]</v>
      </c>
      <c r="K17" s="57" t="str">
        <f>_xll.QIns_CreateAsianSwap("TAswpOpt0_"&amp;ROW(),C17,A17,B17,0,1,F17,H17,I17,"2b",,J17)</f>
        <v>TAswpOpt0_17¬0</v>
      </c>
      <c r="L17" s="51">
        <f ca="1">_xll.QIns_ProductParRate(K17,MetalCurves!$AM$21)</f>
        <v>27300.080818299662</v>
      </c>
      <c r="M17" s="14">
        <f t="shared" ca="1" si="8"/>
        <v>30030.088900129631</v>
      </c>
      <c r="N17" s="92">
        <v>1</v>
      </c>
      <c r="O17" s="57" t="str">
        <f ca="1">_xll.QIns_CreateAsianOption("Topt_"&amp;ROW(),C17,A17,B17,M17,D17,N17,F17,H17,I17,"2b",,J17)</f>
        <v>Topt_17¬1</v>
      </c>
      <c r="P17" s="51">
        <f ca="1">_xll.QIns_ProductPV(O17,MetalCurves!$AM$21)</f>
        <v>942.80214095929193</v>
      </c>
      <c r="Q17" s="57" t="str">
        <f ca="1">_xll.QRisk_PortfolioDelta("LMEOptdelta_"&amp;ROW(),O17,MetalCurves!$AM$21)</f>
        <v>LMEOptdelta_17¬1</v>
      </c>
      <c r="R17" s="57" t="str">
        <f ca="1">_xll.QCube_AggregateCube("LMEOptdeltaAgg_"&amp;ROW(),Q17,"AssetId","Sum")</f>
        <v>LMEOptdeltaAgg_17¬1</v>
      </c>
      <c r="S17" s="53">
        <f ca="1">_xll.QCube_DisplayCubeValueForRow(R17,0)</f>
        <v>0.31765318379620411</v>
      </c>
      <c r="T17" s="57" t="str">
        <f ca="1">_xll.QRisk_PortfolioFxDelta("LMEOptfxdelta_"&amp;ROW(),O17,MetalCurves!$AM$21,"ZAR")</f>
        <v>LMEOptfxdelta_17¬1</v>
      </c>
      <c r="U17" s="57" t="str">
        <f ca="1">_xll.QCube_AggregateCube("LMEOptfxdeltaAgg_"&amp;ROW(),T17,"AssetId","Sum")</f>
        <v>LMEOptfxdeltaAgg_17¬1</v>
      </c>
      <c r="V17" s="53">
        <f ca="1">_xll.QCube_DisplayCubeValueForRow(U17,0)</f>
        <v>598.52125870357702</v>
      </c>
      <c r="W17" s="57" t="str">
        <f ca="1">_xll.QRisk_PortfolioVega("LMEOptVega_"&amp;ROW(),O17,MetalCurves!$AM$21,B17)</f>
        <v>LMEOptVega_17¬1</v>
      </c>
      <c r="X17" s="57" t="str">
        <f ca="1">_xll.QCube_AggregateCube("deltaAgg_"&amp;ROW(),W17,"AssetId","Sum")</f>
        <v>deltaAgg_17¬2</v>
      </c>
      <c r="Y17" s="53">
        <f ca="1">_xll.QCube_DisplayCubeValueForRow(X17,0)</f>
        <v>50.579427542649</v>
      </c>
      <c r="Z17" s="57" t="str">
        <f ca="1">_xll.QRisk_PortfolioFxVega("LMEOptFxVega_"&amp;ROW(),O17,MetalCurves!$AM$21,B17)</f>
        <v>LMEOptFxVega_17¬1</v>
      </c>
      <c r="AA17" s="57" t="str">
        <f ca="1">_xll.QCube_AggregateCube("LMEOptFxVegaAgg_"&amp;ROW(),Z17,"AssetId","Sum")</f>
        <v>LMEOptFxVegaAgg_17¬1</v>
      </c>
      <c r="AB17" s="81">
        <f ca="1">_xll.QCube_DisplayCubeValueForRow(AA17,0)</f>
        <v>42.358600759999945</v>
      </c>
    </row>
    <row r="18" spans="1:33" s="57" customFormat="1" x14ac:dyDescent="0.25">
      <c r="C18" s="48"/>
      <c r="H18" s="3"/>
      <c r="I18" s="3"/>
      <c r="L18" s="51"/>
      <c r="M18" s="14"/>
      <c r="N18" s="92"/>
      <c r="P18" s="51"/>
      <c r="S18" s="53"/>
      <c r="V18" s="53"/>
      <c r="Y18" s="53"/>
      <c r="AB18" s="81"/>
    </row>
    <row r="19" spans="1:33" s="57" customFormat="1" x14ac:dyDescent="0.25">
      <c r="A19" s="57" t="s">
        <v>89</v>
      </c>
      <c r="B19" s="57" t="s">
        <v>26</v>
      </c>
      <c r="C19" s="48">
        <v>43525</v>
      </c>
      <c r="D19" s="57" t="s">
        <v>81</v>
      </c>
      <c r="E19" s="57" t="s">
        <v>71</v>
      </c>
      <c r="F19" s="57" t="str">
        <f t="shared" ref="F19" si="10">"LON"&amp;IF(B19&lt;&gt;"USD","+"&amp;B19,"")</f>
        <v>LON</v>
      </c>
      <c r="G19" s="57" t="s">
        <v>76</v>
      </c>
      <c r="H19" s="3" t="str">
        <f t="shared" ref="H19" si="11">"LON+NYC"&amp;IF(B19&lt;&gt;"USD","+"&amp;B19,"")</f>
        <v>LON+NYC</v>
      </c>
      <c r="I19" s="3" t="s">
        <v>76</v>
      </c>
      <c r="J19" s="57" t="str">
        <f>VLOOKUP(B19,FundingFx!$D$18:$E$19,2,FALSE)</f>
        <v>USD.LIBOR.3M</v>
      </c>
      <c r="K19" s="57" t="str">
        <f>_xll.QIns_CreateAsianSwap("TAswpOpt0_"&amp;ROW(),C19,A19,B19,0,1,F19,H19,I19,"2b",,J19)</f>
        <v>TAswpOpt0_19¬0</v>
      </c>
      <c r="L19" s="51">
        <f ca="1">_xll.QIns_ProductParRate(K19,MetalCurves!$AM$21)</f>
        <v>1293.6355831950752</v>
      </c>
      <c r="M19" s="14">
        <v>1290</v>
      </c>
      <c r="N19" s="92">
        <v>1</v>
      </c>
      <c r="O19" s="57" t="str">
        <f>_xll.QIns_CreateAsianOption("Topt_"&amp;ROW(),C19,A19,B19,M19,D19,N19,F19,H19,I19,"2b",,J19)</f>
        <v>Topt_19¬0</v>
      </c>
      <c r="P19" s="51">
        <f ca="1">_xll.QIns_ProductPV(O19,MetalCurves!$AM$21)</f>
        <v>16.178748671895601</v>
      </c>
      <c r="Q19" s="57" t="str">
        <f ca="1">_xll.QRisk_PortfolioDelta("LMEOptdelta_"&amp;ROW(),O19,MetalCurves!$AM$21)</f>
        <v>LMEOptdelta_19¬1</v>
      </c>
      <c r="R19" s="57" t="str">
        <f ca="1">_xll.QCube_AggregateCube("LMEOptdeltaAgg_"&amp;ROW(),Q19,"AssetId","Sum")</f>
        <v>LMEOptdeltaAgg_19¬1</v>
      </c>
      <c r="S19" s="109">
        <f ca="1">_xll.QCube_DisplayCubeValueForRow(R19,0)</f>
        <v>-0.49034517710246917</v>
      </c>
      <c r="T19" s="57" t="str">
        <f ca="1">_xll.QRisk_PortfolioFxDelta("LMEOptfxdelta_"&amp;ROW(),O19,MetalCurves!$AM$21,"ZAR")</f>
        <v>LMEOptfxdelta_19¬1</v>
      </c>
      <c r="U19" s="57" t="str">
        <f ca="1">_xll.QCube_AggregateCube("LMEOptfxdeltaAgg_"&amp;ROW(),T19,"AssetId","Sum")</f>
        <v>LMEOptfxdeltaAgg_19¬1</v>
      </c>
      <c r="V19" s="53">
        <f ca="1">_xll.QCube_DisplayCubeValueForRow(U19,0)</f>
        <v>16.2206542620379</v>
      </c>
      <c r="W19" s="57" t="str">
        <f ca="1">_xll.QRisk_PortfolioVega("LMEOptVega_"&amp;ROW(),O19,MetalCurves!$AM$21,B19)</f>
        <v>LMEOptVega_19¬1</v>
      </c>
      <c r="X19" s="57" t="str">
        <f ca="1">_xll.QCube_AggregateCube("deltaAgg_"&amp;ROW(),W19,"AssetId","Sum")</f>
        <v>deltaAgg_19¬2</v>
      </c>
      <c r="Y19" s="51">
        <f ca="1">_xll.QCube_DisplayCubeValueForRow(X19,0)</f>
        <v>1.9378131050347491</v>
      </c>
      <c r="Z19" s="57" t="str">
        <f ca="1">_xll.QRisk_PortfolioFxVega("LMEOptFxVega_"&amp;ROW(),O19,MetalCurves!$AM$21,B19)</f>
        <v>LMEOptFxVega_19¬1</v>
      </c>
      <c r="AA19" s="57" t="str">
        <f ca="1">_xll.QCube_AggregateCube("LMEOptFxVegaAgg_"&amp;ROW(),Z19,"AssetId","Sum")</f>
        <v>LMEOptFxVegaAgg_19¬1</v>
      </c>
      <c r="AB19" s="81">
        <f ca="1">_xll.QCube_DisplayCubeValueForRow(AA19,0)</f>
        <v>0</v>
      </c>
      <c r="AC19" s="14"/>
      <c r="AF19" s="14"/>
      <c r="AG19" s="14"/>
    </row>
    <row r="20" spans="1:33" s="57" customFormat="1" x14ac:dyDescent="0.25">
      <c r="A20" s="57" t="s">
        <v>89</v>
      </c>
      <c r="B20" s="57" t="s">
        <v>26</v>
      </c>
      <c r="C20" s="48">
        <f>C19</f>
        <v>43525</v>
      </c>
      <c r="D20" s="57" t="s">
        <v>81</v>
      </c>
      <c r="E20" s="57" t="s">
        <v>71</v>
      </c>
      <c r="F20" s="57" t="str">
        <f t="shared" ref="F20" si="12">"LON"&amp;IF(B20&lt;&gt;"USD","+"&amp;B20,"")</f>
        <v>LON</v>
      </c>
      <c r="G20" s="57" t="s">
        <v>76</v>
      </c>
      <c r="H20" s="3" t="str">
        <f t="shared" ref="H20" si="13">"LON+NYC"&amp;IF(B20&lt;&gt;"USD","+"&amp;B20,"")</f>
        <v>LON+NYC</v>
      </c>
      <c r="I20" s="3" t="s">
        <v>76</v>
      </c>
      <c r="J20" s="57" t="str">
        <f>VLOOKUP(B20,FundingFx!$D$18:$E$19,2,FALSE)</f>
        <v>USD.LIBOR.3M</v>
      </c>
      <c r="K20" s="57" t="str">
        <f>_xll.QIns_CreateAsianSwap("TAswpOpt0_"&amp;ROW(),C20,A20,B20,0,1,F20,H20,I20,"2b",,J20)</f>
        <v>TAswpOpt0_20¬0</v>
      </c>
      <c r="L20" s="51">
        <f ca="1">_xll.QIns_ProductParRate(K20,MetalCurves!$AM$21)</f>
        <v>1293.6355831950752</v>
      </c>
      <c r="M20" s="14">
        <v>1290</v>
      </c>
      <c r="N20" s="92">
        <v>1</v>
      </c>
      <c r="O20" s="57" t="str">
        <f>_xll.QIns_CreateAsianOption("Topt_"&amp;ROW(),C20,A20,B20,M20,D20,N20,F20,H20,I20,"2b",,J20)</f>
        <v>Topt_20¬0</v>
      </c>
      <c r="P20" s="51">
        <f ca="1">_xll.QIns_ProductPV(O20,MetalCurves!$AM$21)</f>
        <v>16.178748671895601</v>
      </c>
      <c r="Q20" s="57" t="str">
        <f ca="1">_xll.QRisk_PortfolioDelta("LMEOptdelta_"&amp;ROW(),O20,MetalCurves!$AM$21)</f>
        <v>LMEOptdelta_20¬1</v>
      </c>
      <c r="R20" s="57" t="str">
        <f ca="1">_xll.QCube_AggregateCube("LMEOptdeltaAgg_"&amp;ROW(),Q20,"AssetId","Sum")</f>
        <v>LMEOptdeltaAgg_20¬1</v>
      </c>
      <c r="S20" s="109">
        <f ca="1">_xll.QCube_DisplayCubeValueForRow(R20,0)</f>
        <v>-0.49034517710246917</v>
      </c>
      <c r="T20" s="57" t="str">
        <f ca="1">_xll.QRisk_PortfolioFxDelta("LMEOptfxdelta_"&amp;ROW(),O20,MetalCurves!$AM$21,"ZAR")</f>
        <v>LMEOptfxdelta_20¬1</v>
      </c>
      <c r="U20" s="57" t="str">
        <f ca="1">_xll.QCube_AggregateCube("LMEOptfxdeltaAgg_"&amp;ROW(),T20,"AssetId","Sum")</f>
        <v>LMEOptfxdeltaAgg_20¬1</v>
      </c>
      <c r="V20" s="53">
        <f ca="1">_xll.QCube_DisplayCubeValueForRow(U20,0)</f>
        <v>16.2206542620379</v>
      </c>
      <c r="W20" s="57" t="str">
        <f ca="1">_xll.QRisk_PortfolioVega("LMEOptVega_"&amp;ROW(),O20,MetalCurves!$AM$21,B20)</f>
        <v>LMEOptVega_20¬1</v>
      </c>
      <c r="X20" s="57" t="str">
        <f ca="1">_xll.QCube_AggregateCube("deltaAgg_"&amp;ROW(),W20,"AssetId","Sum")</f>
        <v>deltaAgg_20¬2</v>
      </c>
      <c r="Y20" s="51">
        <f ca="1">_xll.QCube_DisplayCubeValueForRow(X20,0)</f>
        <v>1.9378131050347491</v>
      </c>
      <c r="Z20" s="57" t="str">
        <f ca="1">_xll.QRisk_PortfolioFxVega("LMEOptFxVega_"&amp;ROW(),O20,MetalCurves!$AM$21,B20)</f>
        <v>LMEOptFxVega_20¬1</v>
      </c>
      <c r="AA20" s="57" t="str">
        <f ca="1">_xll.QCube_AggregateCube("LMEOptFxVegaAgg_"&amp;ROW(),Z20,"AssetId","Sum")</f>
        <v>LMEOptFxVegaAgg_20¬1</v>
      </c>
      <c r="AB20" s="81">
        <f ca="1">_xll.QCube_DisplayCubeValueForRow(AA20,0)</f>
        <v>0</v>
      </c>
      <c r="AC20" s="14"/>
      <c r="AF20" s="14"/>
      <c r="AG20" s="14"/>
    </row>
    <row r="21" spans="1:33" s="57" customFormat="1" x14ac:dyDescent="0.25">
      <c r="C21" s="48"/>
      <c r="H21" s="3"/>
      <c r="I21" s="3"/>
      <c r="L21" s="51"/>
      <c r="M21" s="14"/>
      <c r="N21" s="92"/>
      <c r="P21" s="51"/>
      <c r="S21" s="53"/>
      <c r="V21" s="53"/>
      <c r="Y21" s="53"/>
      <c r="AB21" s="81"/>
    </row>
    <row r="22" spans="1:33" s="57" customFormat="1" x14ac:dyDescent="0.25">
      <c r="A22" s="57" t="s">
        <v>89</v>
      </c>
      <c r="B22" s="57" t="s">
        <v>25</v>
      </c>
      <c r="C22" s="48">
        <v>43497</v>
      </c>
      <c r="D22" s="57" t="s">
        <v>81</v>
      </c>
      <c r="E22" s="57" t="s">
        <v>71</v>
      </c>
      <c r="F22" s="57" t="str">
        <f t="shared" ref="F22:F23" si="14">"LON"&amp;IF(B22&lt;&gt;"USD","+"&amp;B22,"")</f>
        <v>LON+ZAR</v>
      </c>
      <c r="G22" s="57" t="s">
        <v>76</v>
      </c>
      <c r="H22" s="3" t="str">
        <f t="shared" ref="H22:H23" si="15">"LON+NYC"&amp;IF(B22&lt;&gt;"USD","+"&amp;B22,"")</f>
        <v>LON+NYC+ZAR</v>
      </c>
      <c r="I22" s="3" t="s">
        <v>76</v>
      </c>
      <c r="J22" s="57" t="str">
        <f>VLOOKUP(B22,FundingFx!$D$18:$E$19,2,FALSE)</f>
        <v>ZAR.DISC.[USD.LIBOR.3M]</v>
      </c>
      <c r="K22" s="57" t="str">
        <f>_xll.QIns_CreateAsianSwap("TAswpOpt0_"&amp;ROW(),C22,A22,B22,0,1,F22,H22,I22,"2b",,J22)</f>
        <v>TAswpOpt0_22¬0</v>
      </c>
      <c r="L22" s="51">
        <f ca="1">_xll.QIns_ProductParRate(K22,MetalCurves!$AM$21)</f>
        <v>17822.109893981302</v>
      </c>
      <c r="M22" s="14">
        <f ca="1">L23*0.95</f>
        <v>17022.952812806969</v>
      </c>
      <c r="N22" s="92">
        <v>-1800</v>
      </c>
      <c r="O22" s="57" t="str">
        <f ca="1">_xll.QIns_CreateAsianOption("Topt_"&amp;ROW(),C22,A22,B22,M22,D22,N22,F22,H22,I22,"2b",,J22)</f>
        <v>Topt_22¬1</v>
      </c>
      <c r="P22" s="51">
        <f ca="1">_xll.QIns_ProductPV(O22,MetalCurves!$AM$21)</f>
        <v>-72282.023819372509</v>
      </c>
      <c r="Q22" s="57" t="str">
        <f ca="1">_xll.QRisk_PortfolioDelta("LMEOptdelta_"&amp;ROW(),O22,MetalCurves!$AM$21)</f>
        <v>LMEOptdelta_22¬1</v>
      </c>
      <c r="R22" s="57" t="str">
        <f ca="1">_xll.QCube_AggregateCube("LMEOptdeltaAgg_"&amp;ROW(),Q22,"AssetId","Sum")</f>
        <v>LMEOptdeltaAgg_22¬1</v>
      </c>
      <c r="S22" s="53">
        <f ca="1">_xll.QCube_DisplayCubeValueForRow(R22,0)</f>
        <v>205.17726797916112</v>
      </c>
      <c r="T22" s="57" t="str">
        <f ca="1">_xll.QRisk_PortfolioFxDelta("LMEOptfxdelta_"&amp;ROW(),O22,MetalCurves!$AM$21,"ZAR")</f>
        <v>LMEOptfxdelta_22¬1</v>
      </c>
      <c r="U22" s="57" t="str">
        <f ca="1">_xll.QCube_AggregateCube("LMEOptfxdeltaAgg_"&amp;ROW(),T22,"AssetId","Sum")</f>
        <v>LMEOptfxdeltaAgg_22¬1</v>
      </c>
      <c r="V22" s="53">
        <f ca="1">_xll.QCube_DisplayCubeValueForRow(U22,0)</f>
        <v>265686.92383862782</v>
      </c>
      <c r="W22" s="57" t="str">
        <f ca="1">_xll.QRisk_PortfolioVega("LMEOptVega_"&amp;ROW(),O22,MetalCurves!$AM$21,B22)</f>
        <v>LMEOptVega_22¬1</v>
      </c>
      <c r="X22" s="57" t="str">
        <f ca="1">_xll.QCube_AggregateCube("deltaAgg_"&amp;ROW(),W22,"AssetId","Sum")</f>
        <v>deltaAgg_22¬2</v>
      </c>
      <c r="Y22" s="53">
        <f ca="1">_xll.QCube_DisplayCubeValueForRow(X22,0)</f>
        <v>-4695.379761056829</v>
      </c>
      <c r="Z22" s="57" t="str">
        <f ca="1">_xll.QRisk_PortfolioFxVega("LMEOptFxVega_"&amp;ROW(),O22,MetalCurves!$AM$21,B22)</f>
        <v>LMEOptFxVega_22¬1</v>
      </c>
      <c r="AA22" s="57" t="str">
        <f ca="1">_xll.QCube_AggregateCube("LMEOptFxVegaAgg_"&amp;ROW(),Z22,"AssetId","Sum")</f>
        <v>LMEOptFxVegaAgg_22¬1</v>
      </c>
      <c r="AB22" s="81">
        <f ca="1">_xll.QCube_DisplayCubeValueForRow(AA22,0)</f>
        <v>-12942.316269403236</v>
      </c>
      <c r="AC22" s="14"/>
      <c r="AF22" s="14"/>
      <c r="AG22" s="14"/>
    </row>
    <row r="23" spans="1:33" s="57" customFormat="1" x14ac:dyDescent="0.25">
      <c r="A23" s="57" t="s">
        <v>89</v>
      </c>
      <c r="B23" s="57" t="s">
        <v>25</v>
      </c>
      <c r="C23" s="48">
        <v>43525</v>
      </c>
      <c r="D23" s="57" t="s">
        <v>81</v>
      </c>
      <c r="E23" s="57" t="s">
        <v>71</v>
      </c>
      <c r="F23" s="57" t="str">
        <f t="shared" si="14"/>
        <v>LON+ZAR</v>
      </c>
      <c r="G23" s="57" t="s">
        <v>76</v>
      </c>
      <c r="H23" s="3" t="str">
        <f t="shared" si="15"/>
        <v>LON+NYC+ZAR</v>
      </c>
      <c r="I23" s="3" t="s">
        <v>76</v>
      </c>
      <c r="J23" s="57" t="str">
        <f>VLOOKUP(B23,FundingFx!$D$18:$E$19,2,FALSE)</f>
        <v>ZAR.DISC.[USD.LIBOR.3M]</v>
      </c>
      <c r="K23" s="57" t="str">
        <f>_xll.QIns_CreateAsianSwap("TAswpOpt0_"&amp;ROW(),C23,A23,B23,0,1,F23,H23,I23,"2b",,J23)</f>
        <v>TAswpOpt0_23¬0</v>
      </c>
      <c r="L23" s="51">
        <f ca="1">_xll.QIns_ProductParRate(K23,MetalCurves!$AM$21)</f>
        <v>17918.897697691547</v>
      </c>
      <c r="M23" s="14">
        <f ca="1">M22</f>
        <v>17022.952812806969</v>
      </c>
      <c r="N23" s="92">
        <v>-1800</v>
      </c>
      <c r="O23" s="57" t="str">
        <f ca="1">_xll.QIns_CreateAsianOption("Topt_"&amp;ROW(),C23,A23,B23,M23,D23,N23,F23,H23,I23,"2b",,J23)</f>
        <v>Topt_23¬1</v>
      </c>
      <c r="P23" s="51">
        <f ca="1">_xll.QIns_ProductPV(O23,MetalCurves!$AM$21)</f>
        <v>-198857.30659922582</v>
      </c>
      <c r="Q23" s="57" t="str">
        <f ca="1">_xll.QRisk_PortfolioDelta("LMEOptdelta_"&amp;ROW(),O23,MetalCurves!$AM$21)</f>
        <v>LMEOptdelta_23¬1</v>
      </c>
      <c r="R23" s="57" t="str">
        <f ca="1">_xll.QCube_AggregateCube("LMEOptdeltaAgg_"&amp;ROW(),Q23,"AssetId","Sum")</f>
        <v>LMEOptdeltaAgg_23¬1</v>
      </c>
      <c r="S23" s="53">
        <f ca="1">_xll.QCube_DisplayCubeValueForRow(R23,0)</f>
        <v>325.2128025453203</v>
      </c>
      <c r="T23" s="57" t="str">
        <f ca="1">_xll.QRisk_PortfolioFxDelta("LMEOptfxdelta_"&amp;ROW(),O23,MetalCurves!$AM$21,"ZAR")</f>
        <v>LMEOptfxdelta_23¬1</v>
      </c>
      <c r="U23" s="57" t="str">
        <f ca="1">_xll.QCube_AggregateCube("LMEOptfxdeltaAgg_"&amp;ROW(),T23,"AssetId","Sum")</f>
        <v>LMEOptfxdeltaAgg_23¬1</v>
      </c>
      <c r="V23" s="53">
        <f ca="1">_xll.QCube_DisplayCubeValueForRow(U23,0)</f>
        <v>420708.29986467329</v>
      </c>
      <c r="W23" s="57" t="str">
        <f ca="1">_xll.QRisk_PortfolioVega("LMEOptVega_"&amp;ROW(),O23,MetalCurves!$AM$21,B23)</f>
        <v>LMEOptVega_23¬1</v>
      </c>
      <c r="X23" s="57" t="str">
        <f ca="1">_xll.QCube_AggregateCube("deltaAgg_"&amp;ROW(),W23,"AssetId","Sum")</f>
        <v>deltaAgg_23¬3</v>
      </c>
      <c r="Y23" s="53">
        <f ca="1">_xll.QCube_DisplayCubeValueForRow(X23,0)</f>
        <v>-9462.2924086049898</v>
      </c>
      <c r="Z23" s="57" t="str">
        <f ca="1">_xll.QRisk_PortfolioFxVega("LMEOptFxVega_"&amp;ROW(),O23,MetalCurves!$AM$21,B23)</f>
        <v>LMEOptFxVega_23¬1</v>
      </c>
      <c r="AA23" s="57" t="str">
        <f ca="1">_xll.QCube_AggregateCube("LMEOptFxVegaAgg_"&amp;ROW(),Z23,"AssetId","Sum")</f>
        <v>LMEOptFxVegaAgg_23¬1</v>
      </c>
      <c r="AB23" s="81">
        <f ca="1">_xll.QCube_DisplayCubeValueForRow(AA23,0)</f>
        <v>-26162.432156137656</v>
      </c>
      <c r="AC23" s="14"/>
      <c r="AF23" s="14"/>
      <c r="AG23" s="14"/>
    </row>
    <row r="24" spans="1:33" s="57" customFormat="1" x14ac:dyDescent="0.25">
      <c r="A24" s="57" t="s">
        <v>89</v>
      </c>
      <c r="B24" s="57" t="s">
        <v>25</v>
      </c>
      <c r="C24" s="48">
        <v>43556</v>
      </c>
      <c r="D24" s="57" t="s">
        <v>81</v>
      </c>
      <c r="E24" s="57" t="s">
        <v>71</v>
      </c>
      <c r="F24" s="57" t="str">
        <f t="shared" ref="F24:F32" si="16">"LON"&amp;IF(B24&lt;&gt;"USD","+"&amp;B24,"")</f>
        <v>LON+ZAR</v>
      </c>
      <c r="G24" s="57" t="s">
        <v>76</v>
      </c>
      <c r="H24" s="3" t="str">
        <f t="shared" ref="H24:H32" si="17">"LON+NYC"&amp;IF(B24&lt;&gt;"USD","+"&amp;B24,"")</f>
        <v>LON+NYC+ZAR</v>
      </c>
      <c r="I24" s="3" t="s">
        <v>76</v>
      </c>
      <c r="J24" s="57" t="str">
        <f>VLOOKUP(B24,FundingFx!$D$18:$E$19,2,FALSE)</f>
        <v>ZAR.DISC.[USD.LIBOR.3M]</v>
      </c>
      <c r="K24" s="57" t="str">
        <f>_xll.QIns_CreateAsianSwap("TAswpOpt0_"&amp;ROW(),C24,A24,B24,0,1,F24,H24,I24,"2b",,J24)</f>
        <v>TAswpOpt0_24¬0</v>
      </c>
      <c r="L24" s="51">
        <f ca="1">_xll.QIns_ProductParRate(K24,MetalCurves!$AM$21)</f>
        <v>18023.233523444414</v>
      </c>
      <c r="M24" s="14">
        <f t="shared" ref="M24:M33" ca="1" si="18">M23</f>
        <v>17022.952812806969</v>
      </c>
      <c r="N24" s="92">
        <v>-1800</v>
      </c>
      <c r="O24" s="57" t="str">
        <f ca="1">_xll.QIns_CreateAsianOption("Topt_"&amp;ROW(),C24,A24,B24,M24,D24,N24,F24,H24,I24,"2b",,J24)</f>
        <v>Topt_24¬1</v>
      </c>
      <c r="P24" s="51">
        <f ca="1">_xll.QIns_ProductPV(O24,MetalCurves!$AM$21)</f>
        <v>-314830.91839205421</v>
      </c>
      <c r="Q24" s="57" t="str">
        <f ca="1">_xll.QRisk_PortfolioDelta("LMEOptdelta_"&amp;ROW(),O24,MetalCurves!$AM$21)</f>
        <v>LMEOptdelta_24¬1</v>
      </c>
      <c r="R24" s="57" t="str">
        <f ca="1">_xll.QCube_AggregateCube("LMEOptdeltaAgg_"&amp;ROW(),Q24,"AssetId","Sum")</f>
        <v>LMEOptdeltaAgg_24¬1</v>
      </c>
      <c r="S24" s="53">
        <f ca="1">_xll.QCube_DisplayCubeValueForRow(R24,0)</f>
        <v>376.42144252677099</v>
      </c>
      <c r="T24" s="57" t="str">
        <f ca="1">_xll.QRisk_PortfolioFxDelta("LMEOptfxdelta_"&amp;ROW(),O24,MetalCurves!$AM$21,"ZAR")</f>
        <v>LMEOptfxdelta_24¬1</v>
      </c>
      <c r="U24" s="57" t="str">
        <f ca="1">_xll.QCube_AggregateCube("LMEOptfxdeltaAgg_"&amp;ROW(),T24,"AssetId","Sum")</f>
        <v>LMEOptfxdeltaAgg_24¬1</v>
      </c>
      <c r="V24" s="53">
        <f ca="1">_xll.QCube_DisplayCubeValueForRow(U24,0)</f>
        <v>486790.60382905719</v>
      </c>
      <c r="W24" s="57" t="str">
        <f ca="1">_xll.QRisk_PortfolioVega("LMEOptVega_"&amp;ROW(),O24,MetalCurves!$AM$21,B24)</f>
        <v>LMEOptVega_24¬1</v>
      </c>
      <c r="X24" s="57" t="str">
        <f ca="1">_xll.QCube_AggregateCube("deltaAgg_"&amp;ROW(),W24,"AssetId","Sum")</f>
        <v>deltaAgg_24¬1</v>
      </c>
      <c r="Y24" s="53">
        <f ca="1">_xll.QCube_DisplayCubeValueForRow(X24,0)</f>
        <v>-13358.018035059795</v>
      </c>
      <c r="Z24" s="57" t="str">
        <f ca="1">_xll.QRisk_PortfolioFxVega("LMEOptFxVega_"&amp;ROW(),O24,MetalCurves!$AM$21,B24)</f>
        <v>LMEOptFxVega_24¬1</v>
      </c>
      <c r="AA24" s="57" t="str">
        <f ca="1">_xll.QCube_AggregateCube("LMEOptFxVegaAgg_"&amp;ROW(),Z24,"AssetId","Sum")</f>
        <v>LMEOptFxVegaAgg_24¬1</v>
      </c>
      <c r="AB24" s="81">
        <f ca="1">_xll.QCube_DisplayCubeValueForRow(AA24,0)</f>
        <v>-35654.678944945335</v>
      </c>
      <c r="AC24" s="14"/>
      <c r="AF24" s="14"/>
      <c r="AG24" s="14"/>
    </row>
    <row r="25" spans="1:33" s="57" customFormat="1" x14ac:dyDescent="0.25">
      <c r="A25" s="57" t="s">
        <v>89</v>
      </c>
      <c r="B25" s="57" t="s">
        <v>25</v>
      </c>
      <c r="C25" s="48">
        <v>43586</v>
      </c>
      <c r="D25" s="57" t="s">
        <v>81</v>
      </c>
      <c r="E25" s="57" t="s">
        <v>71</v>
      </c>
      <c r="F25" s="57" t="str">
        <f t="shared" si="16"/>
        <v>LON+ZAR</v>
      </c>
      <c r="G25" s="57" t="s">
        <v>76</v>
      </c>
      <c r="H25" s="3" t="str">
        <f t="shared" si="17"/>
        <v>LON+NYC+ZAR</v>
      </c>
      <c r="I25" s="3" t="s">
        <v>76</v>
      </c>
      <c r="J25" s="57" t="str">
        <f>VLOOKUP(B25,FundingFx!$D$18:$E$19,2,FALSE)</f>
        <v>ZAR.DISC.[USD.LIBOR.3M]</v>
      </c>
      <c r="K25" s="57" t="str">
        <f>_xll.QIns_CreateAsianSwap("TAswpOpt0_"&amp;ROW(),C25,A25,B25,0,1,F25,H25,I25,"2b",,J25)</f>
        <v>TAswpOpt0_25¬0</v>
      </c>
      <c r="L25" s="51">
        <f ca="1">_xll.QIns_ProductParRate(K25,MetalCurves!$AM$21)</f>
        <v>18128.949688881738</v>
      </c>
      <c r="M25" s="14">
        <f t="shared" ca="1" si="18"/>
        <v>17022.952812806969</v>
      </c>
      <c r="N25" s="92">
        <v>-1800</v>
      </c>
      <c r="O25" s="57" t="str">
        <f ca="1">_xll.QIns_CreateAsianOption("Topt_"&amp;ROW(),C25,A25,B25,M25,D25,N25,F25,H25,I25,"2b",,J25)</f>
        <v>Topt_25¬1</v>
      </c>
      <c r="P25" s="51">
        <f ca="1">_xll.QIns_ProductPV(O25,MetalCurves!$AM$21)</f>
        <v>-422451.11666527606</v>
      </c>
      <c r="Q25" s="57" t="str">
        <f ca="1">_xll.QRisk_PortfolioDelta("LMEOptdelta_"&amp;ROW(),O25,MetalCurves!$AM$21)</f>
        <v>LMEOptdelta_25¬1</v>
      </c>
      <c r="R25" s="57" t="str">
        <f ca="1">_xll.QCube_AggregateCube("LMEOptdeltaAgg_"&amp;ROW(),Q25,"AssetId","Sum")</f>
        <v>LMEOptdeltaAgg_25¬1</v>
      </c>
      <c r="S25" s="53">
        <f ca="1">_xll.QCube_DisplayCubeValueForRow(R25,0)</f>
        <v>404.49931446746632</v>
      </c>
      <c r="T25" s="57" t="str">
        <f ca="1">_xll.QRisk_PortfolioFxDelta("LMEOptfxdelta_"&amp;ROW(),O25,MetalCurves!$AM$21,"ZAR")</f>
        <v>LMEOptfxdelta_25¬1</v>
      </c>
      <c r="U25" s="57" t="str">
        <f ca="1">_xll.QCube_AggregateCube("LMEOptfxdeltaAgg_"&amp;ROW(),T25,"AssetId","Sum")</f>
        <v>LMEOptfxdeltaAgg_25¬1</v>
      </c>
      <c r="V25" s="53">
        <f ca="1">_xll.QCube_DisplayCubeValueForRow(U25,0)</f>
        <v>523008.94095840538</v>
      </c>
      <c r="W25" s="57" t="str">
        <f ca="1">_xll.QRisk_PortfolioVega("LMEOptVega_"&amp;ROW(),O25,MetalCurves!$AM$21,B25)</f>
        <v>LMEOptVega_25¬1</v>
      </c>
      <c r="X25" s="57" t="str">
        <f ca="1">_xll.QCube_AggregateCube("deltaAgg_"&amp;ROW(),W25,"AssetId","Sum")</f>
        <v>deltaAgg_25¬1</v>
      </c>
      <c r="Y25" s="53">
        <f ca="1">_xll.QCube_DisplayCubeValueForRow(X25,0)</f>
        <v>-17170.737718528253</v>
      </c>
      <c r="Z25" s="57" t="str">
        <f ca="1">_xll.QRisk_PortfolioFxVega("LMEOptFxVega_"&amp;ROW(),O25,MetalCurves!$AM$21,B25)</f>
        <v>LMEOptFxVega_25¬1</v>
      </c>
      <c r="AA25" s="57" t="str">
        <f ca="1">_xll.QCube_AggregateCube("LMEOptFxVegaAgg_"&amp;ROW(),Z25,"AssetId","Sum")</f>
        <v>LMEOptFxVegaAgg_25¬1</v>
      </c>
      <c r="AB25" s="81">
        <f ca="1">_xll.QCube_DisplayCubeValueForRow(AA25,0)</f>
        <v>-43412.497593521839</v>
      </c>
      <c r="AC25" s="14"/>
      <c r="AF25" s="14"/>
      <c r="AG25" s="14"/>
    </row>
    <row r="26" spans="1:33" s="57" customFormat="1" x14ac:dyDescent="0.25">
      <c r="A26" s="57" t="s">
        <v>89</v>
      </c>
      <c r="B26" s="57" t="s">
        <v>25</v>
      </c>
      <c r="C26" s="48">
        <v>43617</v>
      </c>
      <c r="D26" s="57" t="s">
        <v>81</v>
      </c>
      <c r="E26" s="57" t="s">
        <v>71</v>
      </c>
      <c r="F26" s="57" t="str">
        <f t="shared" si="16"/>
        <v>LON+ZAR</v>
      </c>
      <c r="G26" s="57" t="s">
        <v>76</v>
      </c>
      <c r="H26" s="3" t="str">
        <f t="shared" si="17"/>
        <v>LON+NYC+ZAR</v>
      </c>
      <c r="I26" s="3" t="s">
        <v>76</v>
      </c>
      <c r="J26" s="57" t="str">
        <f>VLOOKUP(B26,FundingFx!$D$18:$E$19,2,FALSE)</f>
        <v>ZAR.DISC.[USD.LIBOR.3M]</v>
      </c>
      <c r="K26" s="57" t="str">
        <f>_xll.QIns_CreateAsianSwap("TAswpOpt0_"&amp;ROW(),C26,A26,B26,0,1,F26,H26,I26,"2b",,J26)</f>
        <v>TAswpOpt0_26¬0</v>
      </c>
      <c r="L26" s="51">
        <f ca="1">_xll.QIns_ProductParRate(K26,MetalCurves!$AM$21)</f>
        <v>18233.371726234727</v>
      </c>
      <c r="M26" s="14">
        <f t="shared" ca="1" si="18"/>
        <v>17022.952812806969</v>
      </c>
      <c r="N26" s="92">
        <v>-1800</v>
      </c>
      <c r="O26" s="57" t="str">
        <f ca="1">_xll.QIns_CreateAsianOption("Topt_"&amp;ROW(),C26,A26,B26,M26,D26,N26,F26,H26,I26,"2b",,J26)</f>
        <v>Topt_26¬1</v>
      </c>
      <c r="P26" s="51">
        <f ca="1">_xll.QIns_ProductPV(O26,MetalCurves!$AM$21)</f>
        <v>-506153.79116598563</v>
      </c>
      <c r="Q26" s="57" t="str">
        <f ca="1">_xll.QRisk_PortfolioDelta("LMEOptdelta_"&amp;ROW(),O26,MetalCurves!$AM$21)</f>
        <v>LMEOptdelta_26¬1</v>
      </c>
      <c r="R26" s="57" t="str">
        <f ca="1">_xll.QCube_AggregateCube("LMEOptdeltaAgg_"&amp;ROW(),Q26,"AssetId","Sum")</f>
        <v>LMEOptdeltaAgg_26¬1</v>
      </c>
      <c r="S26" s="53">
        <f ca="1">_xll.QCube_DisplayCubeValueForRow(R26,0)</f>
        <v>416.7496101676079</v>
      </c>
      <c r="T26" s="57" t="str">
        <f ca="1">_xll.QRisk_PortfolioFxDelta("LMEOptfxdelta_"&amp;ROW(),O26,MetalCurves!$AM$21,"ZAR")</f>
        <v>LMEOptfxdelta_26¬1</v>
      </c>
      <c r="U26" s="57" t="str">
        <f ca="1">_xll.QCube_AggregateCube("LMEOptfxdeltaAgg_"&amp;ROW(),T26,"AssetId","Sum")</f>
        <v>LMEOptfxdeltaAgg_26¬1</v>
      </c>
      <c r="V26" s="53">
        <f ca="1">_xll.QCube_DisplayCubeValueForRow(U26,0)</f>
        <v>538794.98219748377</v>
      </c>
      <c r="W26" s="57" t="str">
        <f ca="1">_xll.QRisk_PortfolioVega("LMEOptVega_"&amp;ROW(),O26,MetalCurves!$AM$21,B26)</f>
        <v>LMEOptVega_26¬1</v>
      </c>
      <c r="X26" s="57" t="str">
        <f ca="1">_xll.QCube_AggregateCube("deltaAgg_"&amp;ROW(),W26,"AssetId","Sum")</f>
        <v>deltaAgg_26¬1</v>
      </c>
      <c r="Y26" s="53">
        <f ca="1">_xll.QCube_DisplayCubeValueForRow(X26,0)</f>
        <v>-20283.184064519592</v>
      </c>
      <c r="Z26" s="57" t="str">
        <f ca="1">_xll.QRisk_PortfolioFxVega("LMEOptFxVega_"&amp;ROW(),O26,MetalCurves!$AM$21,B26)</f>
        <v>LMEOptFxVega_26¬1</v>
      </c>
      <c r="AA26" s="57" t="str">
        <f ca="1">_xll.QCube_AggregateCube("LMEOptFxVegaAgg_"&amp;ROW(),Z26,"AssetId","Sum")</f>
        <v>LMEOptFxVegaAgg_26¬1</v>
      </c>
      <c r="AB26" s="81">
        <f ca="1">_xll.QCube_DisplayCubeValueForRow(AA26,0)</f>
        <v>-49425.659422774916</v>
      </c>
      <c r="AC26" s="14"/>
      <c r="AF26" s="14"/>
      <c r="AG26" s="14"/>
    </row>
    <row r="27" spans="1:33" s="57" customFormat="1" x14ac:dyDescent="0.25">
      <c r="A27" s="57" t="s">
        <v>89</v>
      </c>
      <c r="B27" s="57" t="s">
        <v>25</v>
      </c>
      <c r="C27" s="48">
        <v>43647</v>
      </c>
      <c r="D27" s="57" t="s">
        <v>81</v>
      </c>
      <c r="E27" s="57" t="s">
        <v>71</v>
      </c>
      <c r="F27" s="57" t="str">
        <f t="shared" si="16"/>
        <v>LON+ZAR</v>
      </c>
      <c r="G27" s="57" t="s">
        <v>76</v>
      </c>
      <c r="H27" s="3" t="str">
        <f t="shared" si="17"/>
        <v>LON+NYC+ZAR</v>
      </c>
      <c r="I27" s="3" t="s">
        <v>76</v>
      </c>
      <c r="J27" s="57" t="str">
        <f>VLOOKUP(B27,FundingFx!$D$18:$E$19,2,FALSE)</f>
        <v>ZAR.DISC.[USD.LIBOR.3M]</v>
      </c>
      <c r="K27" s="57" t="str">
        <f>_xll.QIns_CreateAsianSwap("TAswpOpt0_"&amp;ROW(),C27,A27,B27,0,1,F27,H27,I27,"2b",,J27)</f>
        <v>TAswpOpt0_27¬0</v>
      </c>
      <c r="L27" s="51">
        <f ca="1">_xll.QIns_ProductParRate(K27,MetalCurves!$AM$21)</f>
        <v>18346.881840688726</v>
      </c>
      <c r="M27" s="14">
        <f t="shared" ca="1" si="18"/>
        <v>17022.952812806969</v>
      </c>
      <c r="N27" s="92">
        <v>-1800</v>
      </c>
      <c r="O27" s="57" t="str">
        <f ca="1">_xll.QIns_CreateAsianOption("Topt_"&amp;ROW(),C27,A27,B27,M27,D27,N27,F27,H27,I27,"2b",,J27)</f>
        <v>Topt_27¬1</v>
      </c>
      <c r="P27" s="51">
        <f ca="1">_xll.QIns_ProductPV(O27,MetalCurves!$AM$21)</f>
        <v>-569048.8838088084</v>
      </c>
      <c r="Q27" s="57" t="str">
        <f ca="1">_xll.QRisk_PortfolioDelta("LMEOptdelta_"&amp;ROW(),O27,MetalCurves!$AM$21)</f>
        <v>LMEOptdelta_27¬1</v>
      </c>
      <c r="R27" s="57" t="str">
        <f ca="1">_xll.QCube_AggregateCube("LMEOptdeltaAgg_"&amp;ROW(),Q27,"AssetId","Sum")</f>
        <v>LMEOptdeltaAgg_27¬1</v>
      </c>
      <c r="S27" s="53">
        <f ca="1">_xll.QCube_DisplayCubeValueForRow(R27,0)</f>
        <v>418.83752638532314</v>
      </c>
      <c r="T27" s="57" t="str">
        <f ca="1">_xll.QRisk_PortfolioFxDelta("LMEOptfxdelta_"&amp;ROW(),O27,MetalCurves!$AM$21,"ZAR")</f>
        <v>LMEOptfxdelta_27¬1</v>
      </c>
      <c r="U27" s="57" t="str">
        <f ca="1">_xll.QCube_AggregateCube("LMEOptfxdeltaAgg_"&amp;ROW(),T27,"AssetId","Sum")</f>
        <v>LMEOptfxdeltaAgg_27¬1</v>
      </c>
      <c r="V27" s="53">
        <f ca="1">_xll.QCube_DisplayCubeValueForRow(U27,0)</f>
        <v>541459.53511429206</v>
      </c>
      <c r="W27" s="57" t="str">
        <f ca="1">_xll.QRisk_PortfolioVega("LMEOptVega_"&amp;ROW(),O27,MetalCurves!$AM$21,B27)</f>
        <v>LMEOptVega_27¬1</v>
      </c>
      <c r="X27" s="57" t="str">
        <f ca="1">_xll.QCube_AggregateCube("deltaAgg_"&amp;ROW(),W27,"AssetId","Sum")</f>
        <v>deltaAgg_27¬1</v>
      </c>
      <c r="Y27" s="53">
        <f ca="1">_xll.QCube_DisplayCubeValueForRow(X27,0)</f>
        <v>-22852.215926921926</v>
      </c>
      <c r="Z27" s="57" t="str">
        <f ca="1">_xll.QRisk_PortfolioFxVega("LMEOptFxVega_"&amp;ROW(),O27,MetalCurves!$AM$21,B27)</f>
        <v>LMEOptFxVega_27¬1</v>
      </c>
      <c r="AA27" s="57" t="str">
        <f ca="1">_xll.QCube_AggregateCube("LMEOptFxVegaAgg_"&amp;ROW(),Z27,"AssetId","Sum")</f>
        <v>LMEOptFxVegaAgg_27¬1</v>
      </c>
      <c r="AB27" s="81">
        <f ca="1">_xll.QCube_DisplayCubeValueForRow(AA27,0)</f>
        <v>-54118.603026594501</v>
      </c>
      <c r="AC27" s="14"/>
      <c r="AF27" s="14"/>
      <c r="AG27" s="14"/>
    </row>
    <row r="28" spans="1:33" s="57" customFormat="1" x14ac:dyDescent="0.25">
      <c r="A28" s="57" t="s">
        <v>89</v>
      </c>
      <c r="B28" s="57" t="s">
        <v>25</v>
      </c>
      <c r="C28" s="48">
        <v>43678</v>
      </c>
      <c r="D28" s="57" t="s">
        <v>81</v>
      </c>
      <c r="E28" s="57" t="s">
        <v>71</v>
      </c>
      <c r="F28" s="57" t="str">
        <f t="shared" si="16"/>
        <v>LON+ZAR</v>
      </c>
      <c r="G28" s="57" t="s">
        <v>76</v>
      </c>
      <c r="H28" s="3" t="str">
        <f t="shared" si="17"/>
        <v>LON+NYC+ZAR</v>
      </c>
      <c r="I28" s="3" t="s">
        <v>76</v>
      </c>
      <c r="J28" s="57" t="str">
        <f>VLOOKUP(B28,FundingFx!$D$18:$E$19,2,FALSE)</f>
        <v>ZAR.DISC.[USD.LIBOR.3M]</v>
      </c>
      <c r="K28" s="57" t="str">
        <f>_xll.QIns_CreateAsianSwap("TAswpOpt0_"&amp;ROW(),C28,A28,B28,0,1,F28,H28,I28,"2b",,J28)</f>
        <v>TAswpOpt0_28¬0</v>
      </c>
      <c r="L28" s="51">
        <f ca="1">_xll.QIns_ProductParRate(K28,MetalCurves!$AM$21)</f>
        <v>18459.930557991149</v>
      </c>
      <c r="M28" s="14">
        <f t="shared" ca="1" si="18"/>
        <v>17022.952812806969</v>
      </c>
      <c r="N28" s="92">
        <v>-1800</v>
      </c>
      <c r="O28" s="57" t="str">
        <f ca="1">_xll.QIns_CreateAsianOption("Topt_"&amp;ROW(),C28,A28,B28,M28,D28,N28,F28,H28,I28,"2b",,J28)</f>
        <v>Topt_28¬1</v>
      </c>
      <c r="P28" s="51">
        <f ca="1">_xll.QIns_ProductPV(O28,MetalCurves!$AM$21)</f>
        <v>-635347.98199509014</v>
      </c>
      <c r="Q28" s="57" t="str">
        <f ca="1">_xll.QRisk_PortfolioDelta("LMEOptdelta_"&amp;ROW(),O28,MetalCurves!$AM$21)</f>
        <v>LMEOptdelta_28¬1</v>
      </c>
      <c r="R28" s="57" t="str">
        <f ca="1">_xll.QCube_AggregateCube("LMEOptdeltaAgg_"&amp;ROW(),Q28,"AssetId","Sum")</f>
        <v>LMEOptdeltaAgg_28¬1</v>
      </c>
      <c r="S28" s="53">
        <f ca="1">_xll.QCube_DisplayCubeValueForRow(R28,0)</f>
        <v>419.96848611961468</v>
      </c>
      <c r="T28" s="57" t="str">
        <f ca="1">_xll.QRisk_PortfolioFxDelta("LMEOptfxdelta_"&amp;ROW(),O28,MetalCurves!$AM$21,"ZAR")</f>
        <v>LMEOptfxdelta_28¬1</v>
      </c>
      <c r="U28" s="57" t="str">
        <f ca="1">_xll.QCube_AggregateCube("LMEOptfxdeltaAgg_"&amp;ROW(),T28,"AssetId","Sum")</f>
        <v>LMEOptfxdeltaAgg_28¬1</v>
      </c>
      <c r="V28" s="53">
        <f ca="1">_xll.QCube_DisplayCubeValueForRow(U28,0)</f>
        <v>542892.42223060457</v>
      </c>
      <c r="W28" s="57" t="str">
        <f ca="1">_xll.QRisk_PortfolioVega("LMEOptVega_"&amp;ROW(),O28,MetalCurves!$AM$21,B28)</f>
        <v>LMEOptVega_28¬1</v>
      </c>
      <c r="X28" s="57" t="str">
        <f ca="1">_xll.QCube_AggregateCube("deltaAgg_"&amp;ROW(),W28,"AssetId","Sum")</f>
        <v>deltaAgg_28¬3</v>
      </c>
      <c r="Y28" s="53">
        <f ca="1">_xll.QCube_DisplayCubeValueForRow(X28,0)</f>
        <v>-25723.00492293085</v>
      </c>
      <c r="Z28" s="57" t="str">
        <f ca="1">_xll.QRisk_PortfolioFxVega("LMEOptFxVega_"&amp;ROW(),O28,MetalCurves!$AM$21,B28)</f>
        <v>LMEOptFxVega_28¬1</v>
      </c>
      <c r="AA28" s="57" t="str">
        <f ca="1">_xll.QCube_AggregateCube("LMEOptFxVegaAgg_"&amp;ROW(),Z28,"AssetId","Sum")</f>
        <v>LMEOptFxVegaAgg_28¬1</v>
      </c>
      <c r="AB28" s="81">
        <f ca="1">_xll.QCube_DisplayCubeValueForRow(AA28,0)</f>
        <v>-58395.910910139792</v>
      </c>
      <c r="AC28" s="14"/>
      <c r="AF28" s="14"/>
      <c r="AG28" s="14"/>
    </row>
    <row r="29" spans="1:33" s="57" customFormat="1" x14ac:dyDescent="0.25">
      <c r="A29" s="57" t="s">
        <v>89</v>
      </c>
      <c r="B29" s="57" t="s">
        <v>25</v>
      </c>
      <c r="C29" s="48">
        <v>43709</v>
      </c>
      <c r="D29" s="57" t="s">
        <v>81</v>
      </c>
      <c r="E29" s="57" t="s">
        <v>71</v>
      </c>
      <c r="F29" s="57" t="str">
        <f t="shared" si="16"/>
        <v>LON+ZAR</v>
      </c>
      <c r="G29" s="57" t="s">
        <v>76</v>
      </c>
      <c r="H29" s="3" t="str">
        <f t="shared" si="17"/>
        <v>LON+NYC+ZAR</v>
      </c>
      <c r="I29" s="3" t="s">
        <v>76</v>
      </c>
      <c r="J29" s="57" t="str">
        <f>VLOOKUP(B29,FundingFx!$D$18:$E$19,2,FALSE)</f>
        <v>ZAR.DISC.[USD.LIBOR.3M]</v>
      </c>
      <c r="K29" s="57" t="str">
        <f>_xll.QIns_CreateAsianSwap("TAswpOpt0_"&amp;ROW(),C29,A29,B29,0,1,F29,H29,I29,"2b",,J29)</f>
        <v>TAswpOpt0_29¬0</v>
      </c>
      <c r="L29" s="51">
        <f ca="1">_xll.QIns_ProductParRate(K29,MetalCurves!$AM$21)</f>
        <v>18567.063056793329</v>
      </c>
      <c r="M29" s="14">
        <f t="shared" ca="1" si="18"/>
        <v>17022.952812806969</v>
      </c>
      <c r="N29" s="92">
        <v>-1800</v>
      </c>
      <c r="O29" s="57" t="str">
        <f ca="1">_xll.QIns_CreateAsianOption("Topt_"&amp;ROW(),C29,A29,B29,M29,D29,N29,F29,H29,I29,"2b",,J29)</f>
        <v>Topt_29¬1</v>
      </c>
      <c r="P29" s="51">
        <f ca="1">_xll.QIns_ProductPV(O29,MetalCurves!$AM$21)</f>
        <v>-691843.25456650835</v>
      </c>
      <c r="Q29" s="57" t="str">
        <f ca="1">_xll.QRisk_PortfolioDelta("LMEOptdelta_"&amp;ROW(),O29,MetalCurves!$AM$21)</f>
        <v>LMEOptdelta_29¬1</v>
      </c>
      <c r="R29" s="57" t="str">
        <f ca="1">_xll.QCube_AggregateCube("LMEOptdeltaAgg_"&amp;ROW(),Q29,"AssetId","Sum")</f>
        <v>LMEOptdeltaAgg_29¬1</v>
      </c>
      <c r="S29" s="53">
        <f ca="1">_xll.QCube_DisplayCubeValueForRow(R29,0)</f>
        <v>419.07739949674578</v>
      </c>
      <c r="T29" s="57" t="str">
        <f ca="1">_xll.QRisk_PortfolioFxDelta("LMEOptfxdelta_"&amp;ROW(),O29,MetalCurves!$AM$21,"ZAR")</f>
        <v>LMEOptfxdelta_29¬1</v>
      </c>
      <c r="U29" s="57" t="str">
        <f ca="1">_xll.QCube_AggregateCube("LMEOptfxdeltaAgg_"&amp;ROW(),T29,"AssetId","Sum")</f>
        <v>LMEOptfxdeltaAgg_29¬1</v>
      </c>
      <c r="V29" s="53">
        <f ca="1">_xll.QCube_DisplayCubeValueForRow(U29,0)</f>
        <v>541718.98290420894</v>
      </c>
      <c r="W29" s="57" t="str">
        <f ca="1">_xll.QRisk_PortfolioVega("LMEOptVega_"&amp;ROW(),O29,MetalCurves!$AM$21,B29)</f>
        <v>LMEOptVega_29¬1</v>
      </c>
      <c r="X29" s="57" t="str">
        <f ca="1">_xll.QCube_AggregateCube("deltaAgg_"&amp;ROW(),W29,"AssetId","Sum")</f>
        <v>deltaAgg_29¬3</v>
      </c>
      <c r="Y29" s="53">
        <f ca="1">_xll.QCube_DisplayCubeValueForRow(X29,0)</f>
        <v>-28280.810107924044</v>
      </c>
      <c r="Z29" s="57" t="str">
        <f ca="1">_xll.QRisk_PortfolioFxVega("LMEOptFxVega_"&amp;ROW(),O29,MetalCurves!$AM$21,B29)</f>
        <v>LMEOptFxVega_29¬1</v>
      </c>
      <c r="AA29" s="57" t="str">
        <f ca="1">_xll.QCube_AggregateCube("LMEOptFxVegaAgg_"&amp;ROW(),Z29,"AssetId","Sum")</f>
        <v>LMEOptFxVegaAgg_29¬1</v>
      </c>
      <c r="AB29" s="81">
        <f ca="1">_xll.QCube_DisplayCubeValueForRow(AA29,0)</f>
        <v>-62023.583825338865</v>
      </c>
      <c r="AC29" s="14"/>
      <c r="AF29" s="14"/>
      <c r="AG29" s="14"/>
    </row>
    <row r="30" spans="1:33" s="57" customFormat="1" x14ac:dyDescent="0.25">
      <c r="A30" s="57" t="s">
        <v>89</v>
      </c>
      <c r="B30" s="57" t="s">
        <v>25</v>
      </c>
      <c r="C30" s="48">
        <v>43739</v>
      </c>
      <c r="D30" s="57" t="s">
        <v>81</v>
      </c>
      <c r="E30" s="57" t="s">
        <v>71</v>
      </c>
      <c r="F30" s="57" t="str">
        <f t="shared" si="16"/>
        <v>LON+ZAR</v>
      </c>
      <c r="G30" s="57" t="s">
        <v>76</v>
      </c>
      <c r="H30" s="3" t="str">
        <f t="shared" si="17"/>
        <v>LON+NYC+ZAR</v>
      </c>
      <c r="I30" s="3" t="s">
        <v>76</v>
      </c>
      <c r="J30" s="57" t="str">
        <f>VLOOKUP(B30,FundingFx!$D$18:$E$19,2,FALSE)</f>
        <v>ZAR.DISC.[USD.LIBOR.3M]</v>
      </c>
      <c r="K30" s="57" t="str">
        <f>_xll.QIns_CreateAsianSwap("TAswpOpt0_"&amp;ROW(),C30,A30,B30,0,1,F30,H30,I30,"2b",,J30)</f>
        <v>TAswpOpt0_30¬0</v>
      </c>
      <c r="L30" s="51">
        <f ca="1">_xll.QIns_ProductParRate(K30,MetalCurves!$AM$21)</f>
        <v>18683.900901244411</v>
      </c>
      <c r="M30" s="14">
        <f t="shared" ca="1" si="18"/>
        <v>17022.952812806969</v>
      </c>
      <c r="N30" s="92">
        <v>-1800</v>
      </c>
      <c r="O30" s="57" t="str">
        <f ca="1">_xll.QIns_CreateAsianOption("Topt_"&amp;ROW(),C30,A30,B30,M30,D30,N30,F30,H30,I30,"2b",,J30)</f>
        <v>Topt_30¬1</v>
      </c>
      <c r="P30" s="51">
        <f ca="1">_xll.QIns_ProductPV(O30,MetalCurves!$AM$21)</f>
        <v>-739055.72006945068</v>
      </c>
      <c r="Q30" s="57" t="str">
        <f ca="1">_xll.QRisk_PortfolioDelta("LMEOptdelta_"&amp;ROW(),O30,MetalCurves!$AM$21)</f>
        <v>LMEOptdelta_30¬1</v>
      </c>
      <c r="R30" s="57" t="str">
        <f ca="1">_xll.QCube_AggregateCube("LMEOptdeltaAgg_"&amp;ROW(),Q30,"AssetId","Sum")</f>
        <v>LMEOptdeltaAgg_30¬1</v>
      </c>
      <c r="S30" s="53">
        <f ca="1">_xll.QCube_DisplayCubeValueForRow(R30,0)</f>
        <v>415.17842277753516</v>
      </c>
      <c r="T30" s="57" t="str">
        <f ca="1">_xll.QRisk_PortfolioFxDelta("LMEOptfxdelta_"&amp;ROW(),O30,MetalCurves!$AM$21,"ZAR")</f>
        <v>LMEOptfxdelta_30¬1</v>
      </c>
      <c r="U30" s="57" t="str">
        <f ca="1">_xll.QCube_AggregateCube("LMEOptfxdeltaAgg_"&amp;ROW(),T30,"AssetId","Sum")</f>
        <v>LMEOptfxdeltaAgg_30¬1</v>
      </c>
      <c r="V30" s="53">
        <f ca="1">_xll.QCube_DisplayCubeValueForRow(U30,0)</f>
        <v>536661.81653028447</v>
      </c>
      <c r="W30" s="57" t="str">
        <f ca="1">_xll.QRisk_PortfolioVega("LMEOptVega_"&amp;ROW(),O30,MetalCurves!$AM$21,B30)</f>
        <v>LMEOptVega_30¬1</v>
      </c>
      <c r="X30" s="57" t="str">
        <f ca="1">_xll.QCube_AggregateCube("deltaAgg_"&amp;ROW(),W30,"AssetId","Sum")</f>
        <v>deltaAgg_30¬3</v>
      </c>
      <c r="Y30" s="53">
        <f ca="1">_xll.QCube_DisplayCubeValueForRow(X30,0)</f>
        <v>-30576.481951241149</v>
      </c>
      <c r="Z30" s="57" t="str">
        <f ca="1">_xll.QRisk_PortfolioFxVega("LMEOptFxVega_"&amp;ROW(),O30,MetalCurves!$AM$21,B30)</f>
        <v>LMEOptFxVega_30¬1</v>
      </c>
      <c r="AA30" s="57" t="str">
        <f ca="1">_xll.QCube_AggregateCube("LMEOptFxVegaAgg_"&amp;ROW(),Z30,"AssetId","Sum")</f>
        <v>LMEOptFxVegaAgg_30¬1</v>
      </c>
      <c r="AB30" s="81">
        <f ca="1">_xll.QCube_DisplayCubeValueForRow(AA30,0)</f>
        <v>-65205.70160895586</v>
      </c>
      <c r="AC30" s="14"/>
      <c r="AF30" s="14"/>
      <c r="AG30" s="14"/>
    </row>
    <row r="31" spans="1:33" s="57" customFormat="1" x14ac:dyDescent="0.25">
      <c r="A31" s="57" t="s">
        <v>89</v>
      </c>
      <c r="B31" s="57" t="s">
        <v>25</v>
      </c>
      <c r="C31" s="48">
        <v>43770</v>
      </c>
      <c r="D31" s="57" t="s">
        <v>81</v>
      </c>
      <c r="E31" s="57" t="s">
        <v>71</v>
      </c>
      <c r="F31" s="57" t="str">
        <f t="shared" si="16"/>
        <v>LON+ZAR</v>
      </c>
      <c r="G31" s="57" t="s">
        <v>76</v>
      </c>
      <c r="H31" s="3" t="str">
        <f t="shared" si="17"/>
        <v>LON+NYC+ZAR</v>
      </c>
      <c r="I31" s="3" t="s">
        <v>76</v>
      </c>
      <c r="J31" s="57" t="str">
        <f>VLOOKUP(B31,FundingFx!$D$18:$E$19,2,FALSE)</f>
        <v>ZAR.DISC.[USD.LIBOR.3M]</v>
      </c>
      <c r="K31" s="57" t="str">
        <f>_xll.QIns_CreateAsianSwap("TAswpOpt0_"&amp;ROW(),C31,A31,B31,0,1,F31,H31,I31,"2b",,J31)</f>
        <v>TAswpOpt0_31¬0</v>
      </c>
      <c r="L31" s="51">
        <f ca="1">_xll.QIns_ProductParRate(K31,MetalCurves!$AM$21)</f>
        <v>18797.21314617727</v>
      </c>
      <c r="M31" s="14">
        <f t="shared" ca="1" si="18"/>
        <v>17022.952812806969</v>
      </c>
      <c r="N31" s="92">
        <v>-1800</v>
      </c>
      <c r="O31" s="57" t="str">
        <f ca="1">_xll.QIns_CreateAsianOption("Topt_"&amp;ROW(),C31,A31,B31,M31,D31,N31,F31,H31,I31,"2b",,J31)</f>
        <v>Topt_31¬1</v>
      </c>
      <c r="P31" s="51">
        <f ca="1">_xll.QIns_ProductPV(O31,MetalCurves!$AM$21)</f>
        <v>-788602.21621650562</v>
      </c>
      <c r="Q31" s="57" t="str">
        <f ca="1">_xll.QRisk_PortfolioDelta("LMEOptdelta_"&amp;ROW(),O31,MetalCurves!$AM$21)</f>
        <v>LMEOptdelta_31¬1</v>
      </c>
      <c r="R31" s="57" t="str">
        <f ca="1">_xll.QCube_AggregateCube("LMEOptdeltaAgg_"&amp;ROW(),Q31,"AssetId","Sum")</f>
        <v>LMEOptdeltaAgg_31¬1</v>
      </c>
      <c r="S31" s="53">
        <f ca="1">_xll.QCube_DisplayCubeValueForRow(R31,0)</f>
        <v>412.55371852457756</v>
      </c>
      <c r="T31" s="57" t="str">
        <f ca="1">_xll.QRisk_PortfolioFxDelta("LMEOptfxdelta_"&amp;ROW(),O31,MetalCurves!$AM$21,"ZAR")</f>
        <v>LMEOptfxdelta_31¬1</v>
      </c>
      <c r="U31" s="57" t="str">
        <f ca="1">_xll.QCube_AggregateCube("LMEOptfxdeltaAgg_"&amp;ROW(),T31,"AssetId","Sum")</f>
        <v>LMEOptfxdeltaAgg_31¬1</v>
      </c>
      <c r="V31" s="53">
        <f ca="1">_xll.QCube_DisplayCubeValueForRow(U31,0)</f>
        <v>533253.99275905977</v>
      </c>
      <c r="W31" s="57" t="str">
        <f ca="1">_xll.QRisk_PortfolioVega("LMEOptVega_"&amp;ROW(),O31,MetalCurves!$AM$21,B31)</f>
        <v>LMEOptVega_31¬1</v>
      </c>
      <c r="X31" s="57" t="str">
        <f ca="1">_xll.QCube_AggregateCube("deltaAgg_"&amp;ROW(),W31,"AssetId","Sum")</f>
        <v>deltaAgg_31¬3</v>
      </c>
      <c r="Y31" s="53">
        <f ca="1">_xll.QCube_DisplayCubeValueForRow(X31,0)</f>
        <v>-32731.062318631448</v>
      </c>
      <c r="Z31" s="57" t="str">
        <f ca="1">_xll.QRisk_PortfolioFxVega("LMEOptFxVega_"&amp;ROW(),O31,MetalCurves!$AM$21,B31)</f>
        <v>LMEOptFxVega_31¬1</v>
      </c>
      <c r="AA31" s="57" t="str">
        <f ca="1">_xll.QCube_AggregateCube("LMEOptFxVegaAgg_"&amp;ROW(),Z31,"AssetId","Sum")</f>
        <v>LMEOptFxVegaAgg_31¬1</v>
      </c>
      <c r="AB31" s="81">
        <f ca="1">_xll.QCube_DisplayCubeValueForRow(AA31,0)</f>
        <v>-68385.602919460507</v>
      </c>
      <c r="AC31" s="14"/>
      <c r="AF31" s="14"/>
      <c r="AG31" s="14"/>
    </row>
    <row r="32" spans="1:33" s="57" customFormat="1" x14ac:dyDescent="0.25">
      <c r="A32" s="57" t="s">
        <v>89</v>
      </c>
      <c r="B32" s="57" t="s">
        <v>25</v>
      </c>
      <c r="C32" s="48">
        <v>43800</v>
      </c>
      <c r="D32" s="57" t="s">
        <v>81</v>
      </c>
      <c r="E32" s="57" t="s">
        <v>71</v>
      </c>
      <c r="F32" s="57" t="str">
        <f t="shared" si="16"/>
        <v>LON+ZAR</v>
      </c>
      <c r="G32" s="57" t="s">
        <v>76</v>
      </c>
      <c r="H32" s="3" t="str">
        <f t="shared" si="17"/>
        <v>LON+NYC+ZAR</v>
      </c>
      <c r="I32" s="3" t="s">
        <v>76</v>
      </c>
      <c r="J32" s="57" t="str">
        <f>VLOOKUP(B32,FundingFx!$D$18:$E$19,2,FALSE)</f>
        <v>ZAR.DISC.[USD.LIBOR.3M]</v>
      </c>
      <c r="K32" s="57" t="str">
        <f>_xll.QIns_CreateAsianSwap("TAswpOpt0_"&amp;ROW(),C32,A32,B32,0,1,F32,H32,I32,"2b",,J32)</f>
        <v>TAswpOpt0_32¬0</v>
      </c>
      <c r="L32" s="51">
        <f ca="1">_xll.QIns_ProductParRate(K32,MetalCurves!$AM$21)</f>
        <v>18905.934739667497</v>
      </c>
      <c r="M32" s="14">
        <f t="shared" ca="1" si="18"/>
        <v>17022.952812806969</v>
      </c>
      <c r="N32" s="92">
        <v>-1800</v>
      </c>
      <c r="O32" s="57" t="str">
        <f ca="1">_xll.QIns_CreateAsianOption("Topt_"&amp;ROW(),C32,A32,B32,M32,D32,N32,F32,H32,I32,"2b",,J32)</f>
        <v>Topt_32¬1</v>
      </c>
      <c r="P32" s="51">
        <f ca="1">_xll.QIns_ProductPV(O32,MetalCurves!$AM$21)</f>
        <v>-828185.10617275164</v>
      </c>
      <c r="Q32" s="57" t="str">
        <f ca="1">_xll.QRisk_PortfolioDelta("LMEOptdelta_"&amp;ROW(),O32,MetalCurves!$AM$21)</f>
        <v>LMEOptdelta_32¬1</v>
      </c>
      <c r="R32" s="57" t="str">
        <f ca="1">_xll.QCube_AggregateCube("LMEOptdeltaAgg_"&amp;ROW(),Q32,"AssetId","Sum")</f>
        <v>LMEOptdeltaAgg_32¬1</v>
      </c>
      <c r="S32" s="53">
        <f ca="1">_xll.QCube_DisplayCubeValueForRow(R32,0)</f>
        <v>408.64411393049522</v>
      </c>
      <c r="T32" s="57" t="str">
        <f ca="1">_xll.QRisk_PortfolioFxDelta("LMEOptfxdelta_"&amp;ROW(),O32,MetalCurves!$AM$21,"ZAR")</f>
        <v>LMEOptfxdelta_32¬1</v>
      </c>
      <c r="U32" s="57" t="str">
        <f ca="1">_xll.QCube_AggregateCube("LMEOptfxdeltaAgg_"&amp;ROW(),T32,"AssetId","Sum")</f>
        <v>LMEOptfxdeltaAgg_32¬1</v>
      </c>
      <c r="V32" s="53">
        <f ca="1">_xll.QCube_DisplayCubeValueForRow(U32,0)</f>
        <v>528188.94632635114</v>
      </c>
      <c r="W32" s="57" t="str">
        <f ca="1">_xll.QRisk_PortfolioVega("LMEOptVega_"&amp;ROW(),O32,MetalCurves!$AM$21,B32)</f>
        <v>LMEOptVega_32¬1</v>
      </c>
      <c r="X32" s="57" t="str">
        <f ca="1">_xll.QCube_AggregateCube("deltaAgg_"&amp;ROW(),W32,"AssetId","Sum")</f>
        <v>deltaAgg_32¬3</v>
      </c>
      <c r="Y32" s="53">
        <f ca="1">_xll.QCube_DisplayCubeValueForRow(X32,0)</f>
        <v>-34542.772763514658</v>
      </c>
      <c r="Z32" s="57" t="str">
        <f ca="1">_xll.QRisk_PortfolioFxVega("LMEOptFxVega_"&amp;ROW(),O32,MetalCurves!$AM$21,B32)</f>
        <v>LMEOptFxVega_32¬1</v>
      </c>
      <c r="AA32" s="57" t="str">
        <f ca="1">_xll.QCube_AggregateCube("LMEOptFxVegaAgg_"&amp;ROW(),Z32,"AssetId","Sum")</f>
        <v>LMEOptFxVegaAgg_32¬1</v>
      </c>
      <c r="AB32" s="81">
        <f ca="1">_xll.QCube_DisplayCubeValueForRow(AA32,0)</f>
        <v>-70977.672268606257</v>
      </c>
      <c r="AC32" s="14"/>
      <c r="AF32" s="14"/>
      <c r="AG32" s="14"/>
    </row>
    <row r="33" spans="1:33" s="57" customFormat="1" x14ac:dyDescent="0.25">
      <c r="A33" s="57" t="s">
        <v>89</v>
      </c>
      <c r="B33" s="57" t="s">
        <v>25</v>
      </c>
      <c r="C33" s="48">
        <v>43831</v>
      </c>
      <c r="D33" s="57" t="s">
        <v>81</v>
      </c>
      <c r="E33" s="57" t="s">
        <v>71</v>
      </c>
      <c r="F33" s="57" t="str">
        <f t="shared" ref="F33" si="19">"LON"&amp;IF(B33&lt;&gt;"USD","+"&amp;B33,"")</f>
        <v>LON+ZAR</v>
      </c>
      <c r="G33" s="57" t="s">
        <v>76</v>
      </c>
      <c r="H33" s="3" t="str">
        <f t="shared" ref="H33" si="20">"LON+NYC"&amp;IF(B33&lt;&gt;"USD","+"&amp;B33,"")</f>
        <v>LON+NYC+ZAR</v>
      </c>
      <c r="I33" s="3" t="s">
        <v>76</v>
      </c>
      <c r="J33" s="57" t="str">
        <f>VLOOKUP(B33,FundingFx!$D$18:$E$19,2,FALSE)</f>
        <v>ZAR.DISC.[USD.LIBOR.3M]</v>
      </c>
      <c r="K33" s="57" t="str">
        <f>_xll.QIns_CreateAsianSwap("TAswpOpt0_"&amp;ROW(),C33,A33,B33,0,1,F33,H33,I33,"2b",,J33)</f>
        <v>TAswpOpt0_33¬0</v>
      </c>
      <c r="L33" s="51">
        <f ca="1">_xll.QIns_ProductParRate(K33,MetalCurves!$AM$21)</f>
        <v>19029.237295600175</v>
      </c>
      <c r="M33" s="14">
        <f t="shared" ca="1" si="18"/>
        <v>17022.952812806969</v>
      </c>
      <c r="N33" s="92">
        <v>-1800</v>
      </c>
      <c r="O33" s="57" t="str">
        <f ca="1">_xll.QIns_CreateAsianOption("Topt_"&amp;ROW(),C33,A33,B33,M33,D33,N33,F33,H33,I33,"2b",,J33)</f>
        <v>Topt_33¬1</v>
      </c>
      <c r="P33" s="51">
        <f ca="1">_xll.QIns_ProductPV(O33,MetalCurves!$AM$21)</f>
        <v>-869603.16955819656</v>
      </c>
      <c r="Q33" s="57" t="str">
        <f ca="1">_xll.QRisk_PortfolioDelta("LMEOptdelta_"&amp;ROW(),O33,MetalCurves!$AM$21)</f>
        <v>LMEOptdelta_33¬1</v>
      </c>
      <c r="R33" s="57" t="str">
        <f ca="1">_xll.QCube_AggregateCube("LMEOptdeltaAgg_"&amp;ROW(),Q33,"AssetId","Sum")</f>
        <v>LMEOptdeltaAgg_33¬1</v>
      </c>
      <c r="S33" s="53">
        <f ca="1">_xll.QCube_DisplayCubeValueForRow(R33,0)</f>
        <v>404.16745235561393</v>
      </c>
      <c r="T33" s="57" t="str">
        <f ca="1">_xll.QRisk_PortfolioFxDelta("LMEOptfxdelta_"&amp;ROW(),O33,MetalCurves!$AM$21,"ZAR")</f>
        <v>LMEOptfxdelta_33¬1</v>
      </c>
      <c r="U33" s="57" t="str">
        <f ca="1">_xll.QCube_AggregateCube("LMEOptfxdeltaAgg_"&amp;ROW(),T33,"AssetId","Sum")</f>
        <v>LMEOptfxdeltaAgg_33¬1</v>
      </c>
      <c r="V33" s="53">
        <f ca="1">_xll.QCube_DisplayCubeValueForRow(U33,0)</f>
        <v>522391.48805168777</v>
      </c>
      <c r="W33" s="57" t="str">
        <f ca="1">_xll.QRisk_PortfolioVega("LMEOptVega_"&amp;ROW(),O33,MetalCurves!$AM$21,B33)</f>
        <v>LMEOptVega_33¬1</v>
      </c>
      <c r="X33" s="57" t="str">
        <f ca="1">_xll.QCube_AggregateCube("deltaAgg_"&amp;ROW(),W33,"AssetId","Sum")</f>
        <v>deltaAgg_33¬3</v>
      </c>
      <c r="Y33" s="53">
        <f ca="1">_xll.QCube_DisplayCubeValueForRow(X33,0)</f>
        <v>-36508.089596224017</v>
      </c>
      <c r="Z33" s="57" t="str">
        <f ca="1">_xll.QRisk_PortfolioFxVega("LMEOptFxVega_"&amp;ROW(),O33,MetalCurves!$AM$21,B33)</f>
        <v>LMEOptFxVega_33¬1</v>
      </c>
      <c r="AA33" s="57" t="str">
        <f ca="1">_xll.QCube_AggregateCube("LMEOptFxVegaAgg_"&amp;ROW(),Z33,"AssetId","Sum")</f>
        <v>LMEOptFxVegaAgg_33¬1</v>
      </c>
      <c r="AB33" s="81">
        <f ca="1">_xll.QCube_DisplayCubeValueForRow(AA33,0)</f>
        <v>-73769.602020294406</v>
      </c>
      <c r="AC33" s="14"/>
      <c r="AF33" s="14"/>
      <c r="AG33" s="14"/>
    </row>
    <row r="34" spans="1:33" x14ac:dyDescent="0.25">
      <c r="J34" s="57"/>
      <c r="K34" s="57"/>
      <c r="AB34" s="81"/>
    </row>
    <row r="35" spans="1:33" x14ac:dyDescent="0.25">
      <c r="J35" s="57"/>
      <c r="K35" s="57"/>
      <c r="L35" s="56"/>
      <c r="P35" s="56"/>
      <c r="AB35" s="81"/>
    </row>
    <row r="36" spans="1:33" x14ac:dyDescent="0.25">
      <c r="J36" s="57"/>
      <c r="K36" s="57"/>
      <c r="AB36" s="81"/>
    </row>
    <row r="37" spans="1:33" s="57" customFormat="1" x14ac:dyDescent="0.25">
      <c r="C37" s="48"/>
      <c r="H37" s="3"/>
      <c r="I37" s="3"/>
      <c r="L37" s="51"/>
      <c r="M37" s="14"/>
      <c r="N37" s="92"/>
      <c r="P37" s="51"/>
      <c r="S37" s="81"/>
      <c r="V37" s="53"/>
      <c r="Y37" s="81"/>
      <c r="AB37" s="81"/>
      <c r="AC37" s="14"/>
      <c r="AF37" s="14"/>
      <c r="AG37" s="14"/>
    </row>
    <row r="38" spans="1:33" s="57" customFormat="1" x14ac:dyDescent="0.25">
      <c r="A38" s="57" t="s">
        <v>89</v>
      </c>
      <c r="B38" s="57" t="s">
        <v>26</v>
      </c>
      <c r="C38" s="48">
        <v>43497</v>
      </c>
      <c r="D38" s="57" t="s">
        <v>81</v>
      </c>
      <c r="E38" s="57" t="s">
        <v>71</v>
      </c>
      <c r="F38" s="57" t="str">
        <f t="shared" ref="F38:F48" si="21">"LON"&amp;IF(B38&lt;&gt;"USD","+"&amp;B38,"")</f>
        <v>LON</v>
      </c>
      <c r="G38" s="57" t="s">
        <v>76</v>
      </c>
      <c r="H38" s="3" t="str">
        <f t="shared" ref="H38:H48" si="22">"LON+NYC"&amp;IF(B38&lt;&gt;"USD","+"&amp;B38,"")</f>
        <v>LON+NYC</v>
      </c>
      <c r="I38" s="3" t="s">
        <v>76</v>
      </c>
      <c r="J38" s="57" t="str">
        <f>VLOOKUP(B38,FundingFx!$D$18:$E$19,2,FALSE)</f>
        <v>USD.LIBOR.3M</v>
      </c>
      <c r="K38" s="57" t="str">
        <f>_xll.QIns_CreateAsianSwap("TAswpOpt0_"&amp;ROW(),C38,A38,B38,0,1,F38,H38,I38,"2b",,J38)</f>
        <v>TAswpOpt0_38¬0</v>
      </c>
      <c r="L38" s="51">
        <f ca="1">_xll.QIns_ProductParRate(K38,MetalCurves!$AM$21)</f>
        <v>1291.0414547597491</v>
      </c>
      <c r="M38" s="14">
        <v>1260</v>
      </c>
      <c r="N38" s="92">
        <v>1</v>
      </c>
      <c r="O38" s="57" t="str">
        <f>_xll.QIns_CreateAsianOption("Topt_"&amp;ROW(),C38,A38,B38,M38,D38,N38,F38,H38,I38,"2b",,J38)</f>
        <v>Topt_38¬0</v>
      </c>
      <c r="P38" s="51">
        <f ca="1">_xll.QIns_ProductPV(O38,MetalCurves!$AM$21)</f>
        <v>2.1093140948391458</v>
      </c>
      <c r="Q38" s="57" t="str">
        <f ca="1">_xll.QRisk_PortfolioDelta("LMEOptdelta_"&amp;ROW(),O38,MetalCurves!$AM$21)</f>
        <v>LMEOptdelta_38¬1</v>
      </c>
      <c r="R38" s="57" t="str">
        <f ca="1">_xll.QCube_AggregateCube("LMEOptdeltaAgg_"&amp;ROW(),Q38,"AssetId","Sum")</f>
        <v>LMEOptdeltaAgg_38¬1</v>
      </c>
      <c r="S38" s="116">
        <f ca="1">_xll.QCube_DisplayCubeValueForRow(R38,0)</f>
        <v>-0.12446287936178635</v>
      </c>
      <c r="T38" s="57" t="str">
        <f ca="1">_xll.QRisk_PortfolioFxDelta("LMEOptfxdelta_"&amp;ROW(),O38,MetalCurves!$AM$21,"ZAR")</f>
        <v>LMEOptfxdelta_38¬1</v>
      </c>
      <c r="U38" s="57" t="str">
        <f ca="1">_xll.QCube_AggregateCube("LMEOptfxdeltaAgg_"&amp;ROW(),T38,"AssetId","Sum")</f>
        <v>LMEOptfxdeltaAgg_38¬1</v>
      </c>
      <c r="V38" s="53">
        <f ca="1">_xll.QCube_DisplayCubeValueForRow(U38,0)</f>
        <v>2.1147775613720299</v>
      </c>
      <c r="W38" s="57" t="str">
        <f ca="1">_xll.QRisk_PortfolioVega("LMEOptVega_"&amp;ROW(),O38,MetalCurves!$AM$21,B38)</f>
        <v>LMEOptVega_38¬1</v>
      </c>
      <c r="X38" s="57" t="str">
        <f ca="1">_xll.QCube_AggregateCube("deltaAgg_"&amp;ROW(),W38,"AssetId","Sum")</f>
        <v>deltaAgg_38¬3</v>
      </c>
      <c r="Y38" s="81">
        <f ca="1">_xll.QCube_DisplayCubeValueForRow(X38,0)</f>
        <v>0.67711987602047774</v>
      </c>
      <c r="Z38" s="57" t="str">
        <f ca="1">_xll.QRisk_PortfolioFxVega("LMEOptFxVega_"&amp;ROW(),O38,MetalCurves!$AM$21,B38)</f>
        <v>LMEOptFxVega_38¬1</v>
      </c>
      <c r="AA38" s="57" t="str">
        <f ca="1">_xll.QCube_AggregateCube("LMEOptFxVegaAgg_"&amp;ROW(),Z38,"AssetId","Sum")</f>
        <v>LMEOptFxVegaAgg_38¬1</v>
      </c>
      <c r="AB38" s="81">
        <f ca="1">_xll.QCube_DisplayCubeValueForRow(AA38,0)</f>
        <v>0</v>
      </c>
      <c r="AC38" s="14"/>
      <c r="AF38" s="14"/>
      <c r="AG38" s="14"/>
    </row>
    <row r="39" spans="1:33" s="57" customFormat="1" x14ac:dyDescent="0.25">
      <c r="A39" s="57" t="s">
        <v>89</v>
      </c>
      <c r="B39" s="57" t="s">
        <v>26</v>
      </c>
      <c r="C39" s="48">
        <v>43497</v>
      </c>
      <c r="D39" s="57" t="s">
        <v>81</v>
      </c>
      <c r="E39" s="57" t="s">
        <v>71</v>
      </c>
      <c r="F39" s="57" t="str">
        <f t="shared" si="21"/>
        <v>LON</v>
      </c>
      <c r="G39" s="57" t="s">
        <v>76</v>
      </c>
      <c r="H39" s="3" t="str">
        <f t="shared" si="22"/>
        <v>LON+NYC</v>
      </c>
      <c r="I39" s="3" t="s">
        <v>76</v>
      </c>
      <c r="J39" s="57" t="str">
        <f>VLOOKUP(B39,FundingFx!$D$18:$E$19,2,FALSE)</f>
        <v>USD.LIBOR.3M</v>
      </c>
      <c r="K39" s="57" t="str">
        <f>_xll.QIns_CreateAsianSwap("TAswpOpt0_"&amp;ROW(),C39,A39,B39,0,1,F39,H39,I39,"2b",,J39)</f>
        <v>TAswpOpt0_39¬0</v>
      </c>
      <c r="L39" s="51">
        <f ca="1">_xll.QIns_ProductParRate(K39,MetalCurves!$AM$21)</f>
        <v>1291.0414547597491</v>
      </c>
      <c r="M39" s="14">
        <v>1265</v>
      </c>
      <c r="N39" s="92">
        <v>1</v>
      </c>
      <c r="O39" s="57" t="str">
        <f>_xll.QIns_CreateAsianOption("Topt_"&amp;ROW(),C39,A39,B39,M39,D39,N39,F39,H39,I39,"2b",,J39)</f>
        <v>Topt_39¬0</v>
      </c>
      <c r="P39" s="51">
        <f ca="1">_xll.QIns_ProductPV(O39,MetalCurves!$AM$21)</f>
        <v>2.8458240358736586</v>
      </c>
      <c r="Q39" s="57" t="str">
        <f ca="1">_xll.QRisk_PortfolioDelta("LMEOptdelta_"&amp;ROW(),O39,MetalCurves!$AM$21)</f>
        <v>LMEOptdelta_39¬1</v>
      </c>
      <c r="R39" s="57" t="str">
        <f ca="1">_xll.QCube_AggregateCube("LMEOptdeltaAgg_"&amp;ROW(),Q39,"AssetId","Sum")</f>
        <v>LMEOptdeltaAgg_39¬1</v>
      </c>
      <c r="S39" s="116">
        <f ca="1">_xll.QCube_DisplayCubeValueForRow(R39,0)</f>
        <v>-0.16179656272328202</v>
      </c>
      <c r="T39" s="57" t="str">
        <f ca="1">_xll.QRisk_PortfolioFxDelta("LMEOptfxdelta_"&amp;ROW(),O39,MetalCurves!$AM$21,"ZAR")</f>
        <v>LMEOptfxdelta_39¬1</v>
      </c>
      <c r="U39" s="57" t="str">
        <f ca="1">_xll.QCube_AggregateCube("LMEOptfxdeltaAgg_"&amp;ROW(),T39,"AssetId","Sum")</f>
        <v>LMEOptfxdeltaAgg_39¬1</v>
      </c>
      <c r="V39" s="53">
        <f ca="1">_xll.QCube_DisplayCubeValueForRow(U39,0)</f>
        <v>2.8531951829297482</v>
      </c>
      <c r="W39" s="57" t="str">
        <f ca="1">_xll.QRisk_PortfolioVega("LMEOptVega_"&amp;ROW(),O39,MetalCurves!$AM$21,B39)</f>
        <v>LMEOptVega_39¬1</v>
      </c>
      <c r="X39" s="57" t="str">
        <f ca="1">_xll.QCube_AggregateCube("deltaAgg_"&amp;ROW(),W39,"AssetId","Sum")</f>
        <v>deltaAgg_39¬2</v>
      </c>
      <c r="Y39" s="53">
        <f ca="1">_xll.QCube_DisplayCubeValueForRow(X39,0)</f>
        <v>0.80745281794377899</v>
      </c>
      <c r="Z39" s="57" t="str">
        <f ca="1">_xll.QRisk_PortfolioFxVega("LMEOptFxVega_"&amp;ROW(),O39,MetalCurves!$AM$21,B39)</f>
        <v>LMEOptFxVega_39¬1</v>
      </c>
      <c r="AA39" s="57" t="str">
        <f ca="1">_xll.QCube_AggregateCube("LMEOptFxVegaAgg_"&amp;ROW(),Z39,"AssetId","Sum")</f>
        <v>LMEOptFxVegaAgg_39¬1</v>
      </c>
      <c r="AB39" s="81">
        <f ca="1">_xll.QCube_DisplayCubeValueForRow(AA39,0)</f>
        <v>0</v>
      </c>
      <c r="AC39" s="14"/>
      <c r="AF39" s="14"/>
      <c r="AG39" s="14"/>
    </row>
    <row r="40" spans="1:33" s="57" customFormat="1" x14ac:dyDescent="0.25">
      <c r="A40" s="57" t="s">
        <v>89</v>
      </c>
      <c r="B40" s="57" t="s">
        <v>26</v>
      </c>
      <c r="C40" s="48">
        <v>43556</v>
      </c>
      <c r="D40" s="57" t="s">
        <v>79</v>
      </c>
      <c r="E40" s="57" t="s">
        <v>71</v>
      </c>
      <c r="F40" s="57" t="str">
        <f t="shared" si="21"/>
        <v>LON</v>
      </c>
      <c r="G40" s="57" t="s">
        <v>76</v>
      </c>
      <c r="H40" s="3" t="str">
        <f t="shared" si="22"/>
        <v>LON+NYC</v>
      </c>
      <c r="I40" s="3" t="s">
        <v>76</v>
      </c>
      <c r="J40" s="57" t="str">
        <f>VLOOKUP(B40,FundingFx!$D$18:$E$19,2,FALSE)</f>
        <v>USD.LIBOR.3M</v>
      </c>
      <c r="K40" s="57" t="str">
        <f>_xll.QIns_CreateAsianSwap("TAswpOpt0_"&amp;ROW(),C40,A40,B40,0,1,F40,H40,I40,"2b",,J40)</f>
        <v>TAswpOpt0_40¬0</v>
      </c>
      <c r="L40" s="51">
        <f ca="1">_xll.QIns_ProductParRate(K40,MetalCurves!$AM$21)</f>
        <v>1296.3758280102179</v>
      </c>
      <c r="M40" s="14">
        <f t="shared" ref="M40:M48" ca="1" si="23">L40</f>
        <v>1296.3758280102179</v>
      </c>
      <c r="N40" s="92">
        <v>1</v>
      </c>
      <c r="O40" s="57" t="str">
        <f ca="1">_xll.QIns_CreateAsianOption("Topt_"&amp;ROW(),C40,A40,B40,M40,D40,N40,F40,H40,I40,"2b",,J40)</f>
        <v>Topt_40¬1</v>
      </c>
      <c r="P40" s="51">
        <f ca="1">_xll.QIns_ProductPV(O40,MetalCurves!$AM$21)</f>
        <v>23.741633044311058</v>
      </c>
      <c r="Q40" s="57" t="str">
        <f ca="1">_xll.QRisk_PortfolioDelta("LMEOptdelta_"&amp;ROW(),O40,MetalCurves!$AM$21)</f>
        <v>LMEOptdelta_40¬1</v>
      </c>
      <c r="R40" s="57" t="str">
        <f ca="1">_xll.QCube_AggregateCube("LMEOptdeltaAgg_"&amp;ROW(),Q40,"AssetId","Sum")</f>
        <v>LMEOptdeltaAgg_40¬1</v>
      </c>
      <c r="S40" s="53">
        <f ca="1">_xll.QCube_DisplayCubeValueForRow(R40,0)</f>
        <v>0.46970810729227708</v>
      </c>
      <c r="T40" s="57" t="str">
        <f ca="1">_xll.QRisk_PortfolioFxDelta("LMEOptfxdelta_"&amp;ROW(),O40,MetalCurves!$AM$21,"ZAR")</f>
        <v>LMEOptfxdelta_40¬1</v>
      </c>
      <c r="U40" s="57" t="str">
        <f ca="1">_xll.QCube_AggregateCube("LMEOptfxdeltaAgg_"&amp;ROW(),T40,"AssetId","Sum")</f>
        <v>LMEOptfxdeltaAgg_40¬1</v>
      </c>
      <c r="V40" s="53">
        <f ca="1">_xll.QCube_DisplayCubeValueForRow(U40,0)</f>
        <v>23.803127734868244</v>
      </c>
      <c r="W40" s="57" t="str">
        <f ca="1">_xll.QRisk_PortfolioVega("LMEOptVega_"&amp;ROW(),O40,MetalCurves!$AM$21,B40)</f>
        <v>LMEOptVega_40¬1</v>
      </c>
      <c r="X40" s="57" t="str">
        <f ca="1">_xll.QCube_AggregateCube("deltaAgg_"&amp;ROW(),W40,"AssetId","Sum")</f>
        <v>deltaAgg_40¬1</v>
      </c>
      <c r="Y40" s="53">
        <f ca="1">_xll.QCube_DisplayCubeValueForRow(X40,0)</f>
        <v>2.4160562619180226</v>
      </c>
      <c r="Z40" s="57" t="str">
        <f ca="1">_xll.QRisk_PortfolioFxVega("LMEOptFxVega_"&amp;ROW(),O40,MetalCurves!$AM$21,B40)</f>
        <v>LMEOptFxVega_40¬1</v>
      </c>
      <c r="AA40" s="57" t="str">
        <f ca="1">_xll.QCube_AggregateCube("LMEOptFxVegaAgg_"&amp;ROW(),Z40,"AssetId","Sum")</f>
        <v>LMEOptFxVegaAgg_40¬1</v>
      </c>
      <c r="AB40" s="81">
        <f ca="1">_xll.QCube_DisplayCubeValueForRow(AA40,0)</f>
        <v>0</v>
      </c>
      <c r="AC40" s="14"/>
      <c r="AF40" s="14"/>
      <c r="AG40" s="14"/>
    </row>
    <row r="41" spans="1:33" s="57" customFormat="1" x14ac:dyDescent="0.25">
      <c r="A41" s="57" t="s">
        <v>89</v>
      </c>
      <c r="B41" s="57" t="s">
        <v>26</v>
      </c>
      <c r="C41" s="48">
        <v>43586</v>
      </c>
      <c r="D41" s="57" t="s">
        <v>79</v>
      </c>
      <c r="E41" s="57" t="s">
        <v>71</v>
      </c>
      <c r="F41" s="57" t="str">
        <f t="shared" si="21"/>
        <v>LON</v>
      </c>
      <c r="G41" s="57" t="s">
        <v>76</v>
      </c>
      <c r="H41" s="3" t="str">
        <f t="shared" si="22"/>
        <v>LON+NYC</v>
      </c>
      <c r="I41" s="3" t="s">
        <v>76</v>
      </c>
      <c r="J41" s="57" t="str">
        <f>VLOOKUP(B41,FundingFx!$D$18:$E$19,2,FALSE)</f>
        <v>USD.LIBOR.3M</v>
      </c>
      <c r="K41" s="57" t="str">
        <f>_xll.QIns_CreateAsianSwap("TAswpOpt0_"&amp;ROW(),C41,A41,B41,0,1,F41,H41,I41,"2b",,J41)</f>
        <v>TAswpOpt0_41¬0</v>
      </c>
      <c r="L41" s="51">
        <f ca="1">_xll.QIns_ProductParRate(K41,MetalCurves!$AM$21)</f>
        <v>1299.311838555873</v>
      </c>
      <c r="M41" s="14">
        <f t="shared" ca="1" si="23"/>
        <v>1299.311838555873</v>
      </c>
      <c r="N41" s="92">
        <v>1</v>
      </c>
      <c r="O41" s="57" t="str">
        <f ca="1">_xll.QIns_CreateAsianOption("Topt_"&amp;ROW(),C41,A41,B41,M41,D41,N41,F41,H41,I41,"2b",,J41)</f>
        <v>Topt_41¬1</v>
      </c>
      <c r="P41" s="51">
        <f ca="1">_xll.QIns_ProductPV(O41,MetalCurves!$AM$21)</f>
        <v>29.405229948647353</v>
      </c>
      <c r="Q41" s="57" t="str">
        <f ca="1">_xll.QRisk_PortfolioDelta("LMEOptdelta_"&amp;ROW(),O41,MetalCurves!$AM$21)</f>
        <v>LMEOptdelta_41¬1</v>
      </c>
      <c r="R41" s="57" t="str">
        <f ca="1">_xll.QCube_AggregateCube("LMEOptdeltaAgg_"&amp;ROW(),Q41,"AssetId","Sum")</f>
        <v>LMEOptdeltaAgg_41¬1</v>
      </c>
      <c r="S41" s="53">
        <f ca="1">_xll.QCube_DisplayCubeValueForRow(R41,0)</f>
        <v>0.47205859909347225</v>
      </c>
      <c r="T41" s="57" t="str">
        <f ca="1">_xll.QRisk_PortfolioFxDelta("LMEOptfxdelta_"&amp;ROW(),O41,MetalCurves!$AM$21,"ZAR")</f>
        <v>LMEOptfxdelta_41¬1</v>
      </c>
      <c r="U41" s="57" t="str">
        <f ca="1">_xll.QCube_AggregateCube("LMEOptfxdeltaAgg_"&amp;ROW(),T41,"AssetId","Sum")</f>
        <v>LMEOptfxdeltaAgg_41¬1</v>
      </c>
      <c r="V41" s="53">
        <f ca="1">_xll.QCube_DisplayCubeValueForRow(U41,0)</f>
        <v>29.481394276271001</v>
      </c>
      <c r="W41" s="57" t="str">
        <f ca="1">_xll.QRisk_PortfolioVega("LMEOptVega_"&amp;ROW(),O41,MetalCurves!$AM$21,B41)</f>
        <v>LMEOptVega_41¬1</v>
      </c>
      <c r="X41" s="57" t="str">
        <f ca="1">_xll.QCube_AggregateCube("deltaAgg_"&amp;ROW(),W41,"AssetId","Sum")</f>
        <v>deltaAgg_41¬3</v>
      </c>
      <c r="Y41" s="53">
        <f ca="1">_xll.QCube_DisplayCubeValueForRow(X41,0)</f>
        <v>2.8493843750758785</v>
      </c>
      <c r="Z41" s="57" t="str">
        <f ca="1">_xll.QRisk_PortfolioFxVega("LMEOptFxVega_"&amp;ROW(),O41,MetalCurves!$AM$21,B41)</f>
        <v>LMEOptFxVega_41¬1</v>
      </c>
      <c r="AA41" s="57" t="str">
        <f ca="1">_xll.QCube_AggregateCube("LMEOptFxVegaAgg_"&amp;ROW(),Z41,"AssetId","Sum")</f>
        <v>LMEOptFxVegaAgg_41¬1</v>
      </c>
      <c r="AB41" s="81">
        <f ca="1">_xll.QCube_DisplayCubeValueForRow(AA41,0)</f>
        <v>0</v>
      </c>
      <c r="AC41" s="14"/>
      <c r="AF41" s="14"/>
      <c r="AG41" s="14"/>
    </row>
    <row r="42" spans="1:33" s="57" customFormat="1" x14ac:dyDescent="0.25">
      <c r="A42" s="57" t="s">
        <v>89</v>
      </c>
      <c r="B42" s="57" t="s">
        <v>26</v>
      </c>
      <c r="C42" s="48">
        <v>43617</v>
      </c>
      <c r="D42" s="57" t="s">
        <v>79</v>
      </c>
      <c r="E42" s="57" t="s">
        <v>71</v>
      </c>
      <c r="F42" s="57" t="str">
        <f t="shared" si="21"/>
        <v>LON</v>
      </c>
      <c r="G42" s="57" t="s">
        <v>76</v>
      </c>
      <c r="H42" s="3" t="str">
        <f t="shared" si="22"/>
        <v>LON+NYC</v>
      </c>
      <c r="I42" s="3" t="s">
        <v>76</v>
      </c>
      <c r="J42" s="57" t="str">
        <f>VLOOKUP(B42,FundingFx!$D$18:$E$19,2,FALSE)</f>
        <v>USD.LIBOR.3M</v>
      </c>
      <c r="K42" s="57" t="str">
        <f>_xll.QIns_CreateAsianSwap("TAswpOpt0_"&amp;ROW(),C42,A42,B42,0,1,F42,H42,I42,"2b",,J42)</f>
        <v>TAswpOpt0_42¬0</v>
      </c>
      <c r="L42" s="51">
        <f ca="1">_xll.QIns_ProductParRate(K42,MetalCurves!$AM$21)</f>
        <v>1302.033349950605</v>
      </c>
      <c r="M42" s="14">
        <f t="shared" ca="1" si="23"/>
        <v>1302.033349950605</v>
      </c>
      <c r="N42" s="92">
        <v>1</v>
      </c>
      <c r="O42" s="57" t="str">
        <f ca="1">_xll.QIns_CreateAsianOption("Topt_"&amp;ROW(),C42,A42,B42,M42,D42,N42,F42,H42,I42,"2b",,J42)</f>
        <v>Topt_42¬1</v>
      </c>
      <c r="P42" s="51">
        <f ca="1">_xll.QIns_ProductPV(O42,MetalCurves!$AM$21)</f>
        <v>34.136122278600169</v>
      </c>
      <c r="Q42" s="57" t="str">
        <f ca="1">_xll.QRisk_PortfolioDelta("LMEOptdelta_"&amp;ROW(),O42,MetalCurves!$AM$21)</f>
        <v>LMEOptdelta_42¬1</v>
      </c>
      <c r="R42" s="57" t="str">
        <f ca="1">_xll.QCube_AggregateCube("LMEOptdeltaAgg_"&amp;ROW(),Q42,"AssetId","Sum")</f>
        <v>LMEOptdeltaAgg_42¬1</v>
      </c>
      <c r="S42" s="53">
        <f ca="1">_xll.QCube_DisplayCubeValueForRow(R42,0)</f>
        <v>0.47402654990378323</v>
      </c>
      <c r="T42" s="57" t="str">
        <f ca="1">_xll.QRisk_PortfolioFxDelta("LMEOptfxdelta_"&amp;ROW(),O42,MetalCurves!$AM$21,"ZAR")</f>
        <v>LMEOptfxdelta_42¬1</v>
      </c>
      <c r="U42" s="57" t="str">
        <f ca="1">_xll.QCube_AggregateCube("LMEOptfxdeltaAgg_"&amp;ROW(),T42,"AssetId","Sum")</f>
        <v>LMEOptfxdeltaAgg_42¬1</v>
      </c>
      <c r="V42" s="53">
        <f ca="1">_xll.QCube_DisplayCubeValueForRow(U42,0)</f>
        <v>34.224540386686726</v>
      </c>
      <c r="W42" s="57" t="str">
        <f ca="1">_xll.QRisk_PortfolioVega("LMEOptVega_"&amp;ROW(),O42,MetalCurves!$AM$21,B42)</f>
        <v>LMEOptVega_42¬1</v>
      </c>
      <c r="X42" s="57" t="str">
        <f ca="1">_xll.QCube_AggregateCube("deltaAgg_"&amp;ROW(),W42,"AssetId","Sum")</f>
        <v>deltaAgg_42¬3</v>
      </c>
      <c r="Y42" s="53">
        <f ca="1">_xll.QCube_DisplayCubeValueForRow(X42,0)</f>
        <v>3.2114789544120015</v>
      </c>
      <c r="Z42" s="57" t="str">
        <f ca="1">_xll.QRisk_PortfolioFxVega("LMEOptFxVega_"&amp;ROW(),O42,MetalCurves!$AM$21,B42)</f>
        <v>LMEOptFxVega_42¬1</v>
      </c>
      <c r="AA42" s="57" t="str">
        <f ca="1">_xll.QCube_AggregateCube("LMEOptFxVegaAgg_"&amp;ROW(),Z42,"AssetId","Sum")</f>
        <v>LMEOptFxVegaAgg_42¬1</v>
      </c>
      <c r="AB42" s="81">
        <f ca="1">_xll.QCube_DisplayCubeValueForRow(AA42,0)</f>
        <v>0</v>
      </c>
      <c r="AC42" s="14"/>
      <c r="AF42" s="14"/>
      <c r="AG42" s="14"/>
    </row>
    <row r="43" spans="1:33" s="57" customFormat="1" x14ac:dyDescent="0.25">
      <c r="A43" s="57" t="s">
        <v>89</v>
      </c>
      <c r="B43" s="57" t="s">
        <v>26</v>
      </c>
      <c r="C43" s="48">
        <v>43647</v>
      </c>
      <c r="D43" s="57" t="s">
        <v>79</v>
      </c>
      <c r="E43" s="57" t="s">
        <v>71</v>
      </c>
      <c r="F43" s="57" t="str">
        <f t="shared" si="21"/>
        <v>LON</v>
      </c>
      <c r="G43" s="57" t="s">
        <v>76</v>
      </c>
      <c r="H43" s="3" t="str">
        <f t="shared" si="22"/>
        <v>LON+NYC</v>
      </c>
      <c r="I43" s="3" t="s">
        <v>76</v>
      </c>
      <c r="J43" s="57" t="str">
        <f>VLOOKUP(B43,FundingFx!$D$18:$E$19,2,FALSE)</f>
        <v>USD.LIBOR.3M</v>
      </c>
      <c r="K43" s="57" t="str">
        <f>_xll.QIns_CreateAsianSwap("TAswpOpt0_"&amp;ROW(),C43,A43,B43,0,1,F43,H43,I43,"2b",,J43)</f>
        <v>TAswpOpt0_43¬0</v>
      </c>
      <c r="L43" s="51">
        <f ca="1">_xll.QIns_ProductParRate(K43,MetalCurves!$AM$21)</f>
        <v>1304.7860861021938</v>
      </c>
      <c r="M43" s="14">
        <f t="shared" ca="1" si="23"/>
        <v>1304.7860861021938</v>
      </c>
      <c r="N43" s="92">
        <v>1</v>
      </c>
      <c r="O43" s="57" t="str">
        <f ca="1">_xll.QIns_CreateAsianOption("Topt_"&amp;ROW(),C43,A43,B43,M43,D43,N43,F43,H43,I43,"2b",,J43)</f>
        <v>Topt_43¬1</v>
      </c>
      <c r="P43" s="51">
        <f ca="1">_xll.QIns_ProductPV(O43,MetalCurves!$AM$21)</f>
        <v>38.197997026914123</v>
      </c>
      <c r="Q43" s="57" t="str">
        <f ca="1">_xll.QRisk_PortfolioDelta("LMEOptdelta_"&amp;ROW(),O43,MetalCurves!$AM$21)</f>
        <v>LMEOptdelta_43¬1</v>
      </c>
      <c r="R43" s="57" t="str">
        <f ca="1">_xll.QCube_AggregateCube("LMEOptdeltaAgg_"&amp;ROW(),Q43,"AssetId","Sum")</f>
        <v>LMEOptdeltaAgg_43¬1</v>
      </c>
      <c r="S43" s="53">
        <f ca="1">_xll.QCube_DisplayCubeValueForRow(R43,0)</f>
        <v>0.47601973696842492</v>
      </c>
      <c r="T43" s="57" t="str">
        <f ca="1">_xll.QRisk_PortfolioFxDelta("LMEOptfxdelta_"&amp;ROW(),O43,MetalCurves!$AM$21,"ZAR")</f>
        <v>LMEOptfxdelta_43¬1</v>
      </c>
      <c r="U43" s="57" t="str">
        <f ca="1">_xll.QCube_AggregateCube("LMEOptfxdeltaAgg_"&amp;ROW(),T43,"AssetId","Sum")</f>
        <v>LMEOptfxdeltaAgg_43¬1</v>
      </c>
      <c r="V43" s="53">
        <f ca="1">_xll.QCube_DisplayCubeValueForRow(U43,0)</f>
        <v>38.296936051217479</v>
      </c>
      <c r="W43" s="57" t="str">
        <f ca="1">_xll.QRisk_PortfolioVega("LMEOptVega_"&amp;ROW(),O43,MetalCurves!$AM$21,B43)</f>
        <v>LMEOptVega_43¬1</v>
      </c>
      <c r="X43" s="57" t="str">
        <f ca="1">_xll.QCube_AggregateCube("deltaAgg_"&amp;ROW(),W43,"AssetId","Sum")</f>
        <v>deltaAgg_43¬3</v>
      </c>
      <c r="Y43" s="53">
        <f ca="1">_xll.QCube_DisplayCubeValueForRow(X43,0)</f>
        <v>3.5204230027719774</v>
      </c>
      <c r="Z43" s="57" t="str">
        <f ca="1">_xll.QRisk_PortfolioFxVega("LMEOptFxVega_"&amp;ROW(),O43,MetalCurves!$AM$21,B43)</f>
        <v>LMEOptFxVega_43¬1</v>
      </c>
      <c r="AA43" s="57" t="str">
        <f ca="1">_xll.QCube_AggregateCube("LMEOptFxVegaAgg_"&amp;ROW(),Z43,"AssetId","Sum")</f>
        <v>LMEOptFxVegaAgg_43¬1</v>
      </c>
      <c r="AB43" s="81">
        <f ca="1">_xll.QCube_DisplayCubeValueForRow(AA43,0)</f>
        <v>0</v>
      </c>
      <c r="AC43" s="14"/>
      <c r="AF43" s="14"/>
      <c r="AG43" s="14"/>
    </row>
    <row r="44" spans="1:33" s="57" customFormat="1" x14ac:dyDescent="0.25">
      <c r="A44" s="57" t="s">
        <v>89</v>
      </c>
      <c r="B44" s="57" t="s">
        <v>26</v>
      </c>
      <c r="C44" s="48">
        <v>43678</v>
      </c>
      <c r="D44" s="57" t="s">
        <v>79</v>
      </c>
      <c r="E44" s="57" t="s">
        <v>71</v>
      </c>
      <c r="F44" s="57" t="str">
        <f t="shared" si="21"/>
        <v>LON</v>
      </c>
      <c r="G44" s="57" t="s">
        <v>76</v>
      </c>
      <c r="H44" s="3" t="str">
        <f t="shared" si="22"/>
        <v>LON+NYC</v>
      </c>
      <c r="I44" s="3" t="s">
        <v>76</v>
      </c>
      <c r="J44" s="57" t="str">
        <f>VLOOKUP(B44,FundingFx!$D$18:$E$19,2,FALSE)</f>
        <v>USD.LIBOR.3M</v>
      </c>
      <c r="K44" s="57" t="str">
        <f>_xll.QIns_CreateAsianSwap("TAswpOpt0_"&amp;ROW(),C44,A44,B44,0,1,F44,H44,I44,"2b",,J44)</f>
        <v>TAswpOpt0_44¬0</v>
      </c>
      <c r="L44" s="51">
        <f ca="1">_xll.QIns_ProductParRate(K44,MetalCurves!$AM$21)</f>
        <v>1307.6962759138084</v>
      </c>
      <c r="M44" s="14">
        <f t="shared" ca="1" si="23"/>
        <v>1307.6962759138084</v>
      </c>
      <c r="N44" s="92">
        <v>1</v>
      </c>
      <c r="O44" s="57" t="str">
        <f ca="1">_xll.QIns_CreateAsianOption("Topt_"&amp;ROW(),C44,A44,B44,M44,D44,N44,F44,H44,I44,"2b",,J44)</f>
        <v>Topt_44¬1</v>
      </c>
      <c r="P44" s="51">
        <f ca="1">_xll.QIns_ProductPV(O44,MetalCurves!$AM$21)</f>
        <v>42.6158190259072</v>
      </c>
      <c r="Q44" s="57" t="str">
        <f ca="1">_xll.QRisk_PortfolioDelta("LMEOptdelta_"&amp;ROW(),O44,MetalCurves!$AM$21)</f>
        <v>LMEOptdelta_44¬1</v>
      </c>
      <c r="R44" s="57" t="str">
        <f ca="1">_xll.QCube_AggregateCube("LMEOptdeltaAgg_"&amp;ROW(),Q44,"AssetId","Sum")</f>
        <v>LMEOptdeltaAgg_44¬1</v>
      </c>
      <c r="S44" s="53">
        <f ca="1">_xll.QCube_DisplayCubeValueForRow(R44,0)</f>
        <v>0.47892146023755799</v>
      </c>
      <c r="T44" s="57" t="str">
        <f ca="1">_xll.QRisk_PortfolioFxDelta("LMEOptfxdelta_"&amp;ROW(),O44,MetalCurves!$AM$21,"ZAR")</f>
        <v>LMEOptfxdelta_44¬1</v>
      </c>
      <c r="U44" s="57" t="str">
        <f ca="1">_xll.QCube_AggregateCube("LMEOptfxdeltaAgg_"&amp;ROW(),T44,"AssetId","Sum")</f>
        <v>LMEOptfxdeltaAgg_44¬1</v>
      </c>
      <c r="V44" s="53">
        <f ca="1">_xll.QCube_DisplayCubeValueForRow(U44,0)</f>
        <v>42.726200927606435</v>
      </c>
      <c r="W44" s="57" t="str">
        <f ca="1">_xll.QRisk_PortfolioVega("LMEOptVega_"&amp;ROW(),O44,MetalCurves!$AM$21,B44)</f>
        <v>LMEOptVega_44¬1</v>
      </c>
      <c r="X44" s="57" t="str">
        <f ca="1">_xll.QCube_AggregateCube("deltaAgg_"&amp;ROW(),W44,"AssetId","Sum")</f>
        <v>deltaAgg_44¬3</v>
      </c>
      <c r="Y44" s="53">
        <f ca="1">_xll.QCube_DisplayCubeValueForRow(X44,0)</f>
        <v>3.8261617219201582</v>
      </c>
      <c r="Z44" s="57" t="str">
        <f ca="1">_xll.QRisk_PortfolioFxVega("LMEOptFxVega_"&amp;ROW(),O44,MetalCurves!$AM$21,B44)</f>
        <v>LMEOptFxVega_44¬1</v>
      </c>
      <c r="AA44" s="57" t="str">
        <f ca="1">_xll.QCube_AggregateCube("LMEOptFxVegaAgg_"&amp;ROW(),Z44,"AssetId","Sum")</f>
        <v>LMEOptFxVegaAgg_44¬1</v>
      </c>
      <c r="AB44" s="81">
        <f ca="1">_xll.QCube_DisplayCubeValueForRow(AA44,0)</f>
        <v>0</v>
      </c>
      <c r="AC44" s="14"/>
      <c r="AF44" s="14"/>
      <c r="AG44" s="14"/>
    </row>
    <row r="45" spans="1:33" s="57" customFormat="1" x14ac:dyDescent="0.25">
      <c r="A45" s="57" t="s">
        <v>89</v>
      </c>
      <c r="B45" s="57" t="s">
        <v>26</v>
      </c>
      <c r="C45" s="48">
        <v>43709</v>
      </c>
      <c r="D45" s="57" t="s">
        <v>79</v>
      </c>
      <c r="E45" s="57" t="s">
        <v>71</v>
      </c>
      <c r="F45" s="57" t="str">
        <f t="shared" si="21"/>
        <v>LON</v>
      </c>
      <c r="G45" s="57" t="s">
        <v>76</v>
      </c>
      <c r="H45" s="3" t="str">
        <f t="shared" si="22"/>
        <v>LON+NYC</v>
      </c>
      <c r="I45" s="3" t="s">
        <v>76</v>
      </c>
      <c r="J45" s="57" t="str">
        <f>VLOOKUP(B45,FundingFx!$D$18:$E$19,2,FALSE)</f>
        <v>USD.LIBOR.3M</v>
      </c>
      <c r="K45" s="57" t="str">
        <f>_xll.QIns_CreateAsianSwap("TAswpOpt0_"&amp;ROW(),C45,A45,B45,0,1,F45,H45,I45,"2b",,J45)</f>
        <v>TAswpOpt0_45¬0</v>
      </c>
      <c r="L45" s="51">
        <f ca="1">_xll.QIns_ProductParRate(K45,MetalCurves!$AM$21)</f>
        <v>1310.5530482973775</v>
      </c>
      <c r="M45" s="14">
        <f t="shared" ca="1" si="23"/>
        <v>1310.5530482973775</v>
      </c>
      <c r="N45" s="92">
        <v>1</v>
      </c>
      <c r="O45" s="57" t="str">
        <f ca="1">_xll.QIns_CreateAsianOption("Topt_"&amp;ROW(),C45,A45,B45,M45,D45,N45,F45,H45,I45,"2b",,J45)</f>
        <v>Topt_45¬1</v>
      </c>
      <c r="P45" s="51">
        <f ca="1">_xll.QIns_ProductPV(O45,MetalCurves!$AM$21)</f>
        <v>46.707173185154929</v>
      </c>
      <c r="Q45" s="57" t="str">
        <f ca="1">_xll.QRisk_PortfolioDelta("LMEOptdelta_"&amp;ROW(),O45,MetalCurves!$AM$21)</f>
        <v>LMEOptdelta_45¬1</v>
      </c>
      <c r="R45" s="57" t="str">
        <f ca="1">_xll.QCube_AggregateCube("LMEOptdeltaAgg_"&amp;ROW(),Q45,"AssetId","Sum")</f>
        <v>LMEOptdeltaAgg_45¬1</v>
      </c>
      <c r="S45" s="53">
        <f ca="1">_xll.QCube_DisplayCubeValueForRow(R45,0)</f>
        <v>0.48168298450050884</v>
      </c>
      <c r="T45" s="57" t="str">
        <f ca="1">_xll.QRisk_PortfolioFxDelta("LMEOptfxdelta_"&amp;ROW(),O45,MetalCurves!$AM$21,"ZAR")</f>
        <v>LMEOptfxdelta_45¬1</v>
      </c>
      <c r="U45" s="57" t="str">
        <f ca="1">_xll.QCube_AggregateCube("LMEOptfxdeltaAgg_"&amp;ROW(),T45,"AssetId","Sum")</f>
        <v>LMEOptfxdeltaAgg_45¬1</v>
      </c>
      <c r="V45" s="53">
        <f ca="1">_xll.QCube_DisplayCubeValueForRow(U45,0)</f>
        <v>46.828152359503221</v>
      </c>
      <c r="W45" s="57" t="str">
        <f ca="1">_xll.QRisk_PortfolioVega("LMEOptVega_"&amp;ROW(),O45,MetalCurves!$AM$21,B45)</f>
        <v>LMEOptVega_45¬1</v>
      </c>
      <c r="X45" s="57" t="str">
        <f ca="1">_xll.QCube_AggregateCube("deltaAgg_"&amp;ROW(),W45,"AssetId","Sum")</f>
        <v>deltaAgg_45¬3</v>
      </c>
      <c r="Y45" s="53">
        <f ca="1">_xll.QCube_DisplayCubeValueForRow(X45,0)</f>
        <v>4.1017550297698335</v>
      </c>
      <c r="Z45" s="57" t="str">
        <f ca="1">_xll.QRisk_PortfolioFxVega("LMEOptFxVega_"&amp;ROW(),O45,MetalCurves!$AM$21,B45)</f>
        <v>LMEOptFxVega_45¬1</v>
      </c>
      <c r="AA45" s="57" t="str">
        <f ca="1">_xll.QCube_AggregateCube("LMEOptFxVegaAgg_"&amp;ROW(),Z45,"AssetId","Sum")</f>
        <v>LMEOptFxVegaAgg_45¬1</v>
      </c>
      <c r="AB45" s="81">
        <f ca="1">_xll.QCube_DisplayCubeValueForRow(AA45,0)</f>
        <v>0</v>
      </c>
      <c r="AC45" s="14"/>
      <c r="AF45" s="14"/>
      <c r="AG45" s="14"/>
    </row>
    <row r="46" spans="1:33" s="57" customFormat="1" x14ac:dyDescent="0.25">
      <c r="A46" s="57" t="s">
        <v>89</v>
      </c>
      <c r="B46" s="57" t="s">
        <v>26</v>
      </c>
      <c r="C46" s="48">
        <v>43739</v>
      </c>
      <c r="D46" s="57" t="s">
        <v>79</v>
      </c>
      <c r="E46" s="57" t="s">
        <v>71</v>
      </c>
      <c r="F46" s="57" t="str">
        <f t="shared" si="21"/>
        <v>LON</v>
      </c>
      <c r="G46" s="57" t="s">
        <v>76</v>
      </c>
      <c r="H46" s="3" t="str">
        <f t="shared" si="22"/>
        <v>LON+NYC</v>
      </c>
      <c r="I46" s="3" t="s">
        <v>76</v>
      </c>
      <c r="J46" s="57" t="str">
        <f>VLOOKUP(B46,FundingFx!$D$18:$E$19,2,FALSE)</f>
        <v>USD.LIBOR.3M</v>
      </c>
      <c r="K46" s="57" t="str">
        <f>_xll.QIns_CreateAsianSwap("TAswpOpt0_"&amp;ROW(),C46,A46,B46,0,1,F46,H46,I46,"2b",,J46)</f>
        <v>TAswpOpt0_46¬0</v>
      </c>
      <c r="L46" s="51">
        <f ca="1">_xll.QIns_ProductParRate(K46,MetalCurves!$AM$21)</f>
        <v>1313.4641854003833</v>
      </c>
      <c r="M46" s="14">
        <f t="shared" ca="1" si="23"/>
        <v>1313.4641854003833</v>
      </c>
      <c r="N46" s="92">
        <v>1</v>
      </c>
      <c r="O46" s="57" t="str">
        <f ca="1">_xll.QIns_CreateAsianOption("Topt_"&amp;ROW(),C46,A46,B46,M46,D46,N46,F46,H46,I46,"2b",,J46)</f>
        <v>Topt_46¬1</v>
      </c>
      <c r="P46" s="51">
        <f ca="1">_xll.QIns_ProductPV(O46,MetalCurves!$AM$21)</f>
        <v>50.421856104042931</v>
      </c>
      <c r="Q46" s="57" t="str">
        <f ca="1">_xll.QRisk_PortfolioDelta("LMEOptdelta_"&amp;ROW(),O46,MetalCurves!$AM$21)</f>
        <v>LMEOptdelta_46¬1</v>
      </c>
      <c r="R46" s="57" t="str">
        <f ca="1">_xll.QCube_AggregateCube("LMEOptdeltaAgg_"&amp;ROW(),Q46,"AssetId","Sum")</f>
        <v>LMEOptdeltaAgg_46¬1</v>
      </c>
      <c r="S46" s="53">
        <f ca="1">_xll.QCube_DisplayCubeValueForRow(R46,0)</f>
        <v>0.48410767538129562</v>
      </c>
      <c r="T46" s="57" t="str">
        <f ca="1">_xll.QRisk_PortfolioFxDelta("LMEOptfxdelta_"&amp;ROW(),O46,MetalCurves!$AM$21,"ZAR")</f>
        <v>LMEOptfxdelta_46¬1</v>
      </c>
      <c r="U46" s="57" t="str">
        <f ca="1">_xll.QCube_AggregateCube("LMEOptfxdeltaAgg_"&amp;ROW(),T46,"AssetId","Sum")</f>
        <v>LMEOptfxdeltaAgg_46¬1</v>
      </c>
      <c r="V46" s="53">
        <f ca="1">_xll.QCube_DisplayCubeValueForRow(U46,0)</f>
        <v>50.552456911249969</v>
      </c>
      <c r="W46" s="57" t="str">
        <f ca="1">_xll.QRisk_PortfolioVega("LMEOptVega_"&amp;ROW(),O46,MetalCurves!$AM$21,B46)</f>
        <v>LMEOptVega_46¬1</v>
      </c>
      <c r="X46" s="57" t="str">
        <f ca="1">_xll.QCube_AggregateCube("deltaAgg_"&amp;ROW(),W46,"AssetId","Sum")</f>
        <v>deltaAgg_46¬3</v>
      </c>
      <c r="Y46" s="53">
        <f ca="1">_xll.QCube_DisplayCubeValueForRow(X46,0)</f>
        <v>4.3516147890008483</v>
      </c>
      <c r="Z46" s="57" t="str">
        <f ca="1">_xll.QRisk_PortfolioFxVega("LMEOptFxVega_"&amp;ROW(),O46,MetalCurves!$AM$21,B46)</f>
        <v>LMEOptFxVega_46¬1</v>
      </c>
      <c r="AA46" s="57" t="str">
        <f ca="1">_xll.QCube_AggregateCube("LMEOptFxVegaAgg_"&amp;ROW(),Z46,"AssetId","Sum")</f>
        <v>LMEOptFxVegaAgg_46¬1</v>
      </c>
      <c r="AB46" s="81">
        <f ca="1">_xll.QCube_DisplayCubeValueForRow(AA46,0)</f>
        <v>0</v>
      </c>
      <c r="AC46" s="14"/>
      <c r="AF46" s="14"/>
      <c r="AG46" s="14"/>
    </row>
    <row r="47" spans="1:33" s="57" customFormat="1" x14ac:dyDescent="0.25">
      <c r="A47" s="57" t="s">
        <v>89</v>
      </c>
      <c r="B47" s="57" t="s">
        <v>26</v>
      </c>
      <c r="C47" s="48">
        <v>43770</v>
      </c>
      <c r="D47" s="57" t="s">
        <v>79</v>
      </c>
      <c r="E47" s="57" t="s">
        <v>71</v>
      </c>
      <c r="F47" s="57" t="str">
        <f t="shared" si="21"/>
        <v>LON</v>
      </c>
      <c r="G47" s="57" t="s">
        <v>76</v>
      </c>
      <c r="H47" s="3" t="str">
        <f t="shared" si="22"/>
        <v>LON+NYC</v>
      </c>
      <c r="I47" s="3" t="s">
        <v>76</v>
      </c>
      <c r="J47" s="57" t="str">
        <f>VLOOKUP(B47,FundingFx!$D$18:$E$19,2,FALSE)</f>
        <v>USD.LIBOR.3M</v>
      </c>
      <c r="K47" s="57" t="str">
        <f>_xll.QIns_CreateAsianSwap("TAswpOpt0_"&amp;ROW(),C47,A47,B47,0,1,F47,H47,I47,"2b",,J47)</f>
        <v>TAswpOpt0_47¬0</v>
      </c>
      <c r="L47" s="51">
        <f ca="1">_xll.QIns_ProductParRate(K47,MetalCurves!$AM$21)</f>
        <v>1316.3483397467048</v>
      </c>
      <c r="M47" s="14">
        <f t="shared" ca="1" si="23"/>
        <v>1316.3483397467048</v>
      </c>
      <c r="N47" s="92">
        <v>1</v>
      </c>
      <c r="O47" s="57" t="str">
        <f ca="1">_xll.QIns_CreateAsianOption("Topt_"&amp;ROW(),C47,A47,B47,M47,D47,N47,F47,H47,I47,"2b",,J47)</f>
        <v>Topt_47¬1</v>
      </c>
      <c r="P47" s="51">
        <f ca="1">_xll.QIns_ProductPV(O47,MetalCurves!$AM$21)</f>
        <v>54.145154436687136</v>
      </c>
      <c r="Q47" s="57" t="str">
        <f ca="1">_xll.QRisk_PortfolioDelta("LMEOptdelta_"&amp;ROW(),O47,MetalCurves!$AM$21)</f>
        <v>LMEOptdelta_47¬1</v>
      </c>
      <c r="R47" s="57" t="str">
        <f ca="1">_xll.QCube_AggregateCube("LMEOptdeltaAgg_"&amp;ROW(),Q47,"AssetId","Sum")</f>
        <v>LMEOptdeltaAgg_47¬1</v>
      </c>
      <c r="S47" s="53">
        <f ca="1">_xll.QCube_DisplayCubeValueForRow(R47,0)</f>
        <v>0.48712346285810781</v>
      </c>
      <c r="T47" s="57" t="str">
        <f ca="1">_xll.QRisk_PortfolioFxDelta("LMEOptfxdelta_"&amp;ROW(),O47,MetalCurves!$AM$21,"ZAR")</f>
        <v>LMEOptfxdelta_47¬1</v>
      </c>
      <c r="U47" s="57" t="str">
        <f ca="1">_xll.QCube_AggregateCube("LMEOptfxdeltaAgg_"&amp;ROW(),T47,"AssetId","Sum")</f>
        <v>LMEOptfxdeltaAgg_47¬1</v>
      </c>
      <c r="V47" s="53">
        <f ca="1">_xll.QCube_DisplayCubeValueForRow(U47,0)</f>
        <v>54.285399191999879</v>
      </c>
      <c r="W47" s="57" t="str">
        <f ca="1">_xll.QRisk_PortfolioVega("LMEOptVega_"&amp;ROW(),O47,MetalCurves!$AM$21,B47)</f>
        <v>LMEOptVega_47¬1</v>
      </c>
      <c r="X47" s="57" t="str">
        <f ca="1">_xll.QCube_AggregateCube("deltaAgg_"&amp;ROW(),W47,"AssetId","Sum")</f>
        <v>deltaAgg_47¬3</v>
      </c>
      <c r="Y47" s="53">
        <f ca="1">_xll.QCube_DisplayCubeValueForRow(X47,0)</f>
        <v>4.6048778690787628</v>
      </c>
      <c r="Z47" s="57" t="str">
        <f ca="1">_xll.QRisk_PortfolioFxVega("LMEOptFxVega_"&amp;ROW(),O47,MetalCurves!$AM$21,B47)</f>
        <v>LMEOptFxVega_47¬1</v>
      </c>
      <c r="AA47" s="57" t="str">
        <f ca="1">_xll.QCube_AggregateCube("LMEOptFxVegaAgg_"&amp;ROW(),Z47,"AssetId","Sum")</f>
        <v>LMEOptFxVegaAgg_47¬1</v>
      </c>
      <c r="AB47" s="81">
        <f ca="1">_xll.QCube_DisplayCubeValueForRow(AA47,0)</f>
        <v>0</v>
      </c>
      <c r="AC47" s="14"/>
      <c r="AF47" s="14"/>
      <c r="AG47" s="14"/>
    </row>
    <row r="48" spans="1:33" s="57" customFormat="1" x14ac:dyDescent="0.25">
      <c r="A48" s="57" t="s">
        <v>89</v>
      </c>
      <c r="B48" s="57" t="s">
        <v>26</v>
      </c>
      <c r="C48" s="48">
        <v>43800</v>
      </c>
      <c r="D48" s="57" t="s">
        <v>79</v>
      </c>
      <c r="E48" s="57" t="s">
        <v>71</v>
      </c>
      <c r="F48" s="57" t="str">
        <f t="shared" si="21"/>
        <v>LON</v>
      </c>
      <c r="G48" s="57" t="s">
        <v>76</v>
      </c>
      <c r="H48" s="3" t="str">
        <f t="shared" si="22"/>
        <v>LON+NYC</v>
      </c>
      <c r="I48" s="3" t="s">
        <v>76</v>
      </c>
      <c r="J48" s="57" t="str">
        <f>VLOOKUP(B48,FundingFx!$D$18:$E$19,2,FALSE)</f>
        <v>USD.LIBOR.3M</v>
      </c>
      <c r="K48" s="57" t="str">
        <f>_xll.QIns_CreateAsianSwap("TAswpOpt0_"&amp;ROW(),C48,A48,B48,0,1,F48,H48,I48,"2b",,J48)</f>
        <v>TAswpOpt0_48¬0</v>
      </c>
      <c r="L48" s="51">
        <f ca="1">_xll.QIns_ProductParRate(K48,MetalCurves!$AM$21)</f>
        <v>1319.1015521650847</v>
      </c>
      <c r="M48" s="14">
        <f t="shared" ca="1" si="23"/>
        <v>1319.1015521650847</v>
      </c>
      <c r="N48" s="92">
        <v>1</v>
      </c>
      <c r="O48" s="57" t="str">
        <f ca="1">_xll.QIns_CreateAsianOption("Topt_"&amp;ROW(),C48,A48,B48,M48,D48,N48,F48,H48,I48,"2b",,J48)</f>
        <v>Topt_48¬1</v>
      </c>
      <c r="P48" s="51">
        <f ca="1">_xll.QIns_ProductPV(O48,MetalCurves!$AM$21)</f>
        <v>57.424283092203453</v>
      </c>
      <c r="Q48" s="57" t="str">
        <f ca="1">_xll.QRisk_PortfolioDelta("LMEOptdelta_"&amp;ROW(),O48,MetalCurves!$AM$21)</f>
        <v>LMEOptdelta_48¬1</v>
      </c>
      <c r="R48" s="57" t="str">
        <f ca="1">_xll.QCube_AggregateCube("LMEOptdeltaAgg_"&amp;ROW(),Q48,"AssetId","Sum")</f>
        <v>LMEOptdeltaAgg_48¬1</v>
      </c>
      <c r="S48" s="53">
        <f ca="1">_xll.QCube_DisplayCubeValueForRow(R48,0)</f>
        <v>0.48967489832705269</v>
      </c>
      <c r="T48" s="57" t="str">
        <f ca="1">_xll.QRisk_PortfolioFxDelta("LMEOptfxdelta_"&amp;ROW(),O48,MetalCurves!$AM$21,"ZAR")</f>
        <v>LMEOptfxdelta_48¬1</v>
      </c>
      <c r="U48" s="57" t="str">
        <f ca="1">_xll.QCube_AggregateCube("LMEOptfxdeltaAgg_"&amp;ROW(),T48,"AssetId","Sum")</f>
        <v>LMEOptfxdeltaAgg_48¬1</v>
      </c>
      <c r="V48" s="53">
        <f ca="1">_xll.QCube_DisplayCubeValueForRow(U48,0)</f>
        <v>57.573021324128867</v>
      </c>
      <c r="W48" s="57" t="str">
        <f ca="1">_xll.QRisk_PortfolioVega("LMEOptVega_"&amp;ROW(),O48,MetalCurves!$AM$21,B48)</f>
        <v>LMEOptVega_48¬1</v>
      </c>
      <c r="X48" s="57" t="str">
        <f ca="1">_xll.QCube_AggregateCube("deltaAgg_"&amp;ROW(),W48,"AssetId","Sum")</f>
        <v>deltaAgg_48¬3</v>
      </c>
      <c r="Y48" s="53">
        <f ca="1">_xll.QCube_DisplayCubeValueForRow(X48,0)</f>
        <v>4.8219778588265427</v>
      </c>
      <c r="Z48" s="57" t="str">
        <f ca="1">_xll.QRisk_PortfolioFxVega("LMEOptFxVega_"&amp;ROW(),O48,MetalCurves!$AM$21,B48)</f>
        <v>LMEOptFxVega_48¬1</v>
      </c>
      <c r="AA48" s="57" t="str">
        <f ca="1">_xll.QCube_AggregateCube("LMEOptFxVegaAgg_"&amp;ROW(),Z48,"AssetId","Sum")</f>
        <v>LMEOptFxVegaAgg_48¬1</v>
      </c>
      <c r="AB48" s="81">
        <f ca="1">_xll.QCube_DisplayCubeValueForRow(AA48,0)</f>
        <v>0</v>
      </c>
      <c r="AC48" s="14"/>
      <c r="AF48" s="14"/>
      <c r="AG48" s="14"/>
    </row>
    <row r="49" spans="3:33" x14ac:dyDescent="0.25">
      <c r="K49" s="57"/>
      <c r="AB49" s="81"/>
    </row>
    <row r="50" spans="3:33" x14ac:dyDescent="0.25">
      <c r="K50" s="57"/>
      <c r="P50" s="56"/>
      <c r="AB50" s="81"/>
    </row>
    <row r="51" spans="3:33" x14ac:dyDescent="0.25">
      <c r="K51" s="57"/>
      <c r="P51" s="56"/>
      <c r="AB51" s="81"/>
    </row>
    <row r="52" spans="3:33" x14ac:dyDescent="0.25">
      <c r="K52" s="57"/>
      <c r="AB52" s="81"/>
    </row>
    <row r="53" spans="3:33" x14ac:dyDescent="0.25">
      <c r="K53" s="57"/>
      <c r="AB53" s="81"/>
    </row>
    <row r="54" spans="3:33" s="57" customFormat="1" x14ac:dyDescent="0.25">
      <c r="C54" s="48"/>
      <c r="H54" s="3"/>
      <c r="I54" s="3"/>
      <c r="L54" s="51"/>
      <c r="M54" s="97"/>
      <c r="N54" s="92"/>
      <c r="P54" s="51"/>
      <c r="S54" s="53"/>
      <c r="V54" s="53"/>
      <c r="Y54" s="53"/>
      <c r="AB54" s="81"/>
      <c r="AC54" s="14"/>
      <c r="AF54" s="14"/>
      <c r="AG54" s="14"/>
    </row>
    <row r="55" spans="3:33" s="57" customFormat="1" x14ac:dyDescent="0.25">
      <c r="C55" s="48"/>
      <c r="H55" s="3"/>
      <c r="I55" s="3"/>
      <c r="L55" s="51"/>
      <c r="M55" s="95"/>
      <c r="N55" s="92"/>
      <c r="P55" s="51"/>
      <c r="S55" s="53"/>
      <c r="V55" s="53"/>
      <c r="Y55" s="53"/>
      <c r="AB55" s="81"/>
      <c r="AC55" s="14"/>
      <c r="AF55" s="14"/>
      <c r="AG55" s="14"/>
    </row>
    <row r="56" spans="3:33" s="57" customFormat="1" x14ac:dyDescent="0.25">
      <c r="C56" s="48"/>
      <c r="H56" s="3"/>
      <c r="I56" s="3"/>
      <c r="L56" s="51"/>
      <c r="M56" s="97"/>
      <c r="N56" s="92"/>
      <c r="P56" s="51"/>
      <c r="S56" s="53"/>
      <c r="V56" s="53"/>
      <c r="Y56" s="53"/>
      <c r="AB56" s="81"/>
      <c r="AC56" s="14"/>
      <c r="AF56" s="14"/>
      <c r="AG56" s="14"/>
    </row>
    <row r="57" spans="3:33" s="57" customFormat="1" x14ac:dyDescent="0.25">
      <c r="C57" s="48"/>
      <c r="H57" s="3"/>
      <c r="I57" s="3"/>
      <c r="L57" s="51"/>
      <c r="M57" s="97"/>
      <c r="N57" s="92"/>
      <c r="P57" s="51"/>
      <c r="S57" s="53"/>
      <c r="V57" s="53"/>
      <c r="Y57" s="53"/>
      <c r="AB57" s="81"/>
      <c r="AC57" s="14"/>
      <c r="AF57" s="14"/>
      <c r="AG57" s="14"/>
    </row>
    <row r="58" spans="3:33" x14ac:dyDescent="0.25">
      <c r="AB58" s="81"/>
    </row>
    <row r="59" spans="3:33" x14ac:dyDescent="0.25">
      <c r="AB59" s="81"/>
    </row>
    <row r="60" spans="3:33" x14ac:dyDescent="0.25">
      <c r="F60" s="93"/>
      <c r="G60" s="94"/>
      <c r="H60" s="94"/>
      <c r="I60" s="94"/>
      <c r="T60" s="53"/>
      <c r="U60" s="53"/>
      <c r="AB60" s="81"/>
    </row>
    <row r="61" spans="3:33" x14ac:dyDescent="0.25">
      <c r="F61" s="48"/>
      <c r="G61" s="96"/>
      <c r="H61" s="96"/>
      <c r="I61" s="96"/>
      <c r="S61" s="81"/>
      <c r="AB61" s="81"/>
    </row>
    <row r="62" spans="3:33" x14ac:dyDescent="0.25">
      <c r="F62" s="48"/>
      <c r="G62" s="96"/>
      <c r="H62" s="96"/>
      <c r="I62" s="96"/>
      <c r="AB62" s="81"/>
    </row>
    <row r="63" spans="3:33" x14ac:dyDescent="0.25">
      <c r="S63" s="81"/>
      <c r="AB63" s="81"/>
    </row>
    <row r="64" spans="3:33" x14ac:dyDescent="0.25">
      <c r="AB64" s="81"/>
    </row>
    <row r="65" spans="3:33" x14ac:dyDescent="0.25">
      <c r="AB65" s="81"/>
    </row>
    <row r="66" spans="3:33" s="57" customFormat="1" x14ac:dyDescent="0.25">
      <c r="C66" s="48"/>
      <c r="H66" s="3"/>
      <c r="I66" s="3"/>
      <c r="L66" s="51"/>
      <c r="M66" s="97"/>
      <c r="N66" s="92"/>
      <c r="P66" s="51"/>
      <c r="S66" s="53"/>
      <c r="V66" s="53"/>
      <c r="Y66" s="53"/>
      <c r="AB66" s="81"/>
      <c r="AC66" s="14"/>
      <c r="AF66" s="14"/>
      <c r="AG66" s="14"/>
    </row>
    <row r="67" spans="3:33" s="57" customFormat="1" x14ac:dyDescent="0.25">
      <c r="C67" s="48"/>
      <c r="H67" s="3"/>
      <c r="I67" s="3"/>
      <c r="L67" s="51"/>
      <c r="M67" s="97"/>
      <c r="N67" s="92"/>
      <c r="P67" s="51"/>
      <c r="S67" s="53"/>
      <c r="V67" s="53"/>
      <c r="Y67" s="53"/>
      <c r="AB67" s="81"/>
      <c r="AC67" s="14"/>
      <c r="AF67" s="14"/>
      <c r="AG67" s="14"/>
    </row>
    <row r="68" spans="3:33" s="57" customFormat="1" x14ac:dyDescent="0.25">
      <c r="C68" s="48"/>
      <c r="H68" s="3"/>
      <c r="I68" s="3"/>
      <c r="L68" s="51"/>
      <c r="M68" s="97"/>
      <c r="N68" s="92"/>
      <c r="P68" s="51"/>
      <c r="S68" s="53"/>
      <c r="V68" s="53"/>
      <c r="Y68" s="53"/>
      <c r="AB68" s="81"/>
      <c r="AC68" s="14"/>
      <c r="AF68" s="14"/>
      <c r="AG68" s="14"/>
    </row>
    <row r="69" spans="3:33" s="57" customFormat="1" x14ac:dyDescent="0.25">
      <c r="C69" s="48"/>
      <c r="H69" s="3"/>
      <c r="I69" s="3"/>
      <c r="L69" s="51"/>
      <c r="M69" s="97"/>
      <c r="N69" s="92"/>
      <c r="P69" s="51"/>
      <c r="S69" s="53"/>
      <c r="V69" s="53"/>
      <c r="Y69" s="53"/>
      <c r="AB69" s="81"/>
      <c r="AC69" s="14"/>
      <c r="AF69" s="14"/>
      <c r="AG69" s="14"/>
    </row>
    <row r="70" spans="3:33" x14ac:dyDescent="0.25">
      <c r="AB70" s="81"/>
    </row>
    <row r="71" spans="3:33" x14ac:dyDescent="0.25">
      <c r="AB71" s="81"/>
    </row>
    <row r="72" spans="3:33" x14ac:dyDescent="0.25">
      <c r="AB72" s="81"/>
    </row>
    <row r="73" spans="3:33" x14ac:dyDescent="0.25">
      <c r="AB73" s="81"/>
    </row>
    <row r="74" spans="3:33" x14ac:dyDescent="0.25">
      <c r="AB74" s="81"/>
    </row>
    <row r="75" spans="3:33" x14ac:dyDescent="0.25">
      <c r="AB75" s="81"/>
    </row>
    <row r="76" spans="3:33" x14ac:dyDescent="0.25">
      <c r="AB76" s="81"/>
    </row>
    <row r="77" spans="3:33" x14ac:dyDescent="0.25">
      <c r="AB77" s="81"/>
    </row>
    <row r="78" spans="3:33" x14ac:dyDescent="0.25">
      <c r="AB78" s="81"/>
    </row>
    <row r="79" spans="3:33" x14ac:dyDescent="0.25">
      <c r="AB79" s="81"/>
    </row>
    <row r="80" spans="3:33" x14ac:dyDescent="0.25">
      <c r="AB80" s="81"/>
    </row>
    <row r="81" spans="28:28" x14ac:dyDescent="0.25">
      <c r="AB81" s="81"/>
    </row>
    <row r="82" spans="28:28" x14ac:dyDescent="0.25">
      <c r="AB82" s="81"/>
    </row>
    <row r="83" spans="28:28" x14ac:dyDescent="0.25">
      <c r="AB83" s="81"/>
    </row>
    <row r="84" spans="28:28" x14ac:dyDescent="0.25">
      <c r="AB84" s="81"/>
    </row>
  </sheetData>
  <dataValidations count="1">
    <dataValidation type="list" allowBlank="1" showInputMessage="1" showErrorMessage="1" sqref="D2:D8 D66:D69 D10:D33 D54:D57 D37:D48" xr:uid="{1E9C6A4C-72DC-4B46-BC88-C9CEDE86A7B1}">
      <formula1>"Call,Put"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84F0B3-B3F6-41AD-B088-598A9325517F}">
          <x14:formula1>
            <xm:f>MetalCurves!$BD$2:$BD$3</xm:f>
          </x14:formula1>
          <xm:sqref>G2:G8 G10:G33 G37:G48 G54:G57 G66:G69</xm:sqref>
        </x14:dataValidation>
        <x14:dataValidation type="list" allowBlank="1" showInputMessage="1" showErrorMessage="1" xr:uid="{EA99B33A-97FB-4C6F-8433-CE946AD45B2B}">
          <x14:formula1>
            <xm:f>MetalCurves!$BC$2:$BC$4</xm:f>
          </x14:formula1>
          <xm:sqref>E2:E8 E10:E33 E37:E48 E54:E57 E66:E69</xm:sqref>
        </x14:dataValidation>
        <x14:dataValidation type="list" allowBlank="1" showInputMessage="1" showErrorMessage="1" xr:uid="{5AA47D28-9375-48BB-867B-8FE05F4CFABC}">
          <x14:formula1>
            <xm:f>FundingFx!$D$18:$D$19</xm:f>
          </x14:formula1>
          <xm:sqref>B66:B69 B37:B48 B2:B8 B54:B57 B10:B33</xm:sqref>
        </x14:dataValidation>
        <x14:dataValidation type="list" allowBlank="1" showInputMessage="1" showErrorMessage="1" xr:uid="{EC926036-4E3E-476B-90D5-5EFC216BEE46}">
          <x14:formula1>
            <xm:f>MetalCurves!$AZ$2:$AZ$7</xm:f>
          </x14:formula1>
          <xm:sqref>A2:A8 A66:A69 A37:A48 A54:A57 A10:A33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9610-C209-48D7-B922-920CF1CEFB6F}">
  <dimension ref="A1:N13"/>
  <sheetViews>
    <sheetView workbookViewId="0">
      <selection activeCell="E18" sqref="E18"/>
    </sheetView>
  </sheetViews>
  <sheetFormatPr defaultRowHeight="15" x14ac:dyDescent="0.25"/>
  <cols>
    <col min="2" max="2" width="15.28515625" bestFit="1" customWidth="1"/>
    <col min="5" max="6" width="11.42578125" bestFit="1" customWidth="1"/>
    <col min="8" max="8" width="13.7109375" customWidth="1"/>
    <col min="9" max="9" width="18.140625" style="57" bestFit="1" customWidth="1"/>
    <col min="10" max="10" width="11.5703125" bestFit="1" customWidth="1"/>
  </cols>
  <sheetData>
    <row r="1" spans="1:14" s="49" customFormat="1" x14ac:dyDescent="0.25">
      <c r="A1" s="49" t="s">
        <v>130</v>
      </c>
      <c r="B1" s="49" t="s">
        <v>64</v>
      </c>
      <c r="C1" s="49" t="s">
        <v>94</v>
      </c>
      <c r="D1" s="49" t="s">
        <v>42</v>
      </c>
      <c r="E1" s="49" t="s">
        <v>132</v>
      </c>
      <c r="F1" s="49" t="s">
        <v>133</v>
      </c>
      <c r="G1" s="49" t="s">
        <v>131</v>
      </c>
      <c r="H1" s="49" t="s">
        <v>135</v>
      </c>
      <c r="I1" s="49" t="s">
        <v>68</v>
      </c>
      <c r="J1" s="49" t="s">
        <v>136</v>
      </c>
      <c r="K1" s="49" t="s">
        <v>137</v>
      </c>
      <c r="N1" s="91">
        <f>FundingFx!E16</f>
        <v>13.7951</v>
      </c>
    </row>
    <row r="2" spans="1:14" x14ac:dyDescent="0.25">
      <c r="A2" t="s">
        <v>82</v>
      </c>
      <c r="B2" s="143">
        <v>-500000</v>
      </c>
      <c r="C2" t="s">
        <v>81</v>
      </c>
      <c r="D2" s="84">
        <f>N1*0.95</f>
        <v>13.105345</v>
      </c>
      <c r="E2" s="1" t="str">
        <f>BackPricing!C19</f>
        <v>CA</v>
      </c>
      <c r="F2" s="1" t="e">
        <f>_xll.QDates_SpotDate(E2,"2b",RIGHT(A2,3),LEFT(A2,3))</f>
        <v>#VALUE!</v>
      </c>
      <c r="G2" s="122" t="e">
        <f ca="1">_xll.QCurves_GetForwardFxRate(FundingFx!$B$27,F2,A2)</f>
        <v>#VALUE!</v>
      </c>
      <c r="H2" t="str">
        <f>VLOOKUP(RIGHT(A2,3),FundingFx!$D$18:$E$19,2,FALSE)</f>
        <v>ZAR.DISC.[USD.LIBOR.3M]</v>
      </c>
      <c r="I2" s="57" t="e">
        <f>_xll.QIns_CreateEuropeanFxOption(A2&amp;"_opt_"&amp;ROW()-1,E2,A2,D2,C2,B2,"USD",F2,"2b",H2)</f>
        <v>#VALUE!</v>
      </c>
      <c r="J2" s="84" t="e">
        <f>_xll.QIns_ProductPV(I2,MetalCurves!$AM$21,"ZAR")</f>
        <v>#VALUE!</v>
      </c>
      <c r="K2" s="11" t="e">
        <f ca="1">J2/B2/G2</f>
        <v>#VALUE!</v>
      </c>
    </row>
    <row r="3" spans="1:14" x14ac:dyDescent="0.25">
      <c r="A3" s="57" t="s">
        <v>82</v>
      </c>
      <c r="B3" s="143">
        <v>-500000</v>
      </c>
      <c r="C3" s="57" t="s">
        <v>81</v>
      </c>
      <c r="D3" s="84">
        <f>D2</f>
        <v>13.105345</v>
      </c>
      <c r="E3" s="1">
        <f>BackPricing!C20</f>
        <v>-304.29738728269115</v>
      </c>
      <c r="F3" s="1">
        <f>_xll.QDates_SpotDate(E3,"2b",RIGHT(A3,3),LEFT(A3,3))</f>
        <v>-302</v>
      </c>
      <c r="G3" s="122" t="e">
        <f ca="1">_xll.QCurves_GetForwardFxRate(FundingFx!$B$27,F3,A3)</f>
        <v>#NUM!</v>
      </c>
      <c r="H3" s="57" t="str">
        <f>VLOOKUP(RIGHT(A3,3),FundingFx!$D$18:$E$19,2,FALSE)</f>
        <v>ZAR.DISC.[USD.LIBOR.3M]</v>
      </c>
      <c r="I3" s="57" t="str">
        <f>_xll.QIns_CreateEuropeanFxOption(A3&amp;"_opt_"&amp;ROW()-1,E3,A3,D3,C3,B3,"USD",F3,"2b",H3)</f>
        <v>USD/ZAR_opt_2¬0</v>
      </c>
      <c r="J3" s="84">
        <f ca="1">_xll.QIns_ProductPV(I3,MetalCurves!$AM$21,"ZAR")</f>
        <v>0</v>
      </c>
      <c r="K3" s="11">
        <f t="shared" ref="K3:K13" ca="1" si="0">J3/B3/G3</f>
        <v>0</v>
      </c>
    </row>
    <row r="4" spans="1:14" x14ac:dyDescent="0.25">
      <c r="A4" s="57" t="s">
        <v>82</v>
      </c>
      <c r="B4" s="143">
        <v>-500000</v>
      </c>
      <c r="C4" s="57" t="s">
        <v>81</v>
      </c>
      <c r="D4" s="84">
        <f t="shared" ref="D4:D13" si="1">D3</f>
        <v>13.105345</v>
      </c>
      <c r="E4" s="1">
        <f>BackPricing!C21</f>
        <v>17.8530371361432</v>
      </c>
      <c r="F4" s="1">
        <f>_xll.QDates_SpotDate(E4,"2b",RIGHT(A4,3),LEFT(A4,3))</f>
        <v>19</v>
      </c>
      <c r="G4" s="122" t="e">
        <f ca="1">_xll.QCurves_GetForwardFxRate(FundingFx!$B$27,F4,A4)</f>
        <v>#NUM!</v>
      </c>
      <c r="H4" s="57" t="str">
        <f>VLOOKUP(RIGHT(A4,3),FundingFx!$D$18:$E$19,2,FALSE)</f>
        <v>ZAR.DISC.[USD.LIBOR.3M]</v>
      </c>
      <c r="I4" s="57" t="str">
        <f>_xll.QIns_CreateEuropeanFxOption(A4&amp;"_opt_"&amp;ROW()-1,E4,A4,D4,C4,B4,"USD",F4,"2b",H4)</f>
        <v>USD/ZAR_opt_3¬0</v>
      </c>
      <c r="J4" s="84">
        <f ca="1">_xll.QIns_ProductPV(I4,MetalCurves!$AM$21,"ZAR")</f>
        <v>0</v>
      </c>
      <c r="K4" s="11">
        <f t="shared" ca="1" si="0"/>
        <v>0</v>
      </c>
    </row>
    <row r="5" spans="1:14" x14ac:dyDescent="0.25">
      <c r="A5" s="57" t="s">
        <v>82</v>
      </c>
      <c r="B5" s="143">
        <v>-500000</v>
      </c>
      <c r="C5" s="57" t="s">
        <v>81</v>
      </c>
      <c r="D5" s="84">
        <f t="shared" si="1"/>
        <v>13.105345</v>
      </c>
      <c r="E5" s="1">
        <f>BackPricing!C22</f>
        <v>238.88306296300914</v>
      </c>
      <c r="F5" s="1">
        <f>_xll.QDates_SpotDate(E5,"2b",RIGHT(A5,3),LEFT(A5,3))</f>
        <v>241</v>
      </c>
      <c r="G5" s="122" t="e">
        <f ca="1">_xll.QCurves_GetForwardFxRate(FundingFx!$B$27,F5,A5)</f>
        <v>#NUM!</v>
      </c>
      <c r="H5" s="57" t="str">
        <f>VLOOKUP(RIGHT(A5,3),FundingFx!$D$18:$E$19,2,FALSE)</f>
        <v>ZAR.DISC.[USD.LIBOR.3M]</v>
      </c>
      <c r="I5" s="57" t="str">
        <f>_xll.QIns_CreateEuropeanFxOption(A5&amp;"_opt_"&amp;ROW()-1,E5,A5,D5,C5,B5,"USD",F5,"2b",H5)</f>
        <v>USD/ZAR_opt_4¬0</v>
      </c>
      <c r="J5" s="84">
        <f ca="1">_xll.QIns_ProductPV(I5,MetalCurves!$AM$21,"ZAR")</f>
        <v>0</v>
      </c>
      <c r="K5" s="11">
        <f t="shared" ca="1" si="0"/>
        <v>0</v>
      </c>
    </row>
    <row r="6" spans="1:14" x14ac:dyDescent="0.25">
      <c r="A6" s="57" t="s">
        <v>82</v>
      </c>
      <c r="B6" s="143">
        <v>-500000</v>
      </c>
      <c r="C6" s="57" t="s">
        <v>81</v>
      </c>
      <c r="D6" s="84">
        <f t="shared" si="1"/>
        <v>13.105345</v>
      </c>
      <c r="E6" s="1">
        <f>BackPricing!C23</f>
        <v>264.65587161182418</v>
      </c>
      <c r="F6" s="1">
        <f>_xll.QDates_SpotDate(E6,"2b",RIGHT(A6,3),LEFT(A6,3))</f>
        <v>268</v>
      </c>
      <c r="G6" s="122" t="e">
        <f ca="1">_xll.QCurves_GetForwardFxRate(FundingFx!$B$27,F6,A6)</f>
        <v>#NUM!</v>
      </c>
      <c r="H6" s="57" t="str">
        <f>VLOOKUP(RIGHT(A6,3),FundingFx!$D$18:$E$19,2,FALSE)</f>
        <v>ZAR.DISC.[USD.LIBOR.3M]</v>
      </c>
      <c r="I6" s="57" t="str">
        <f>_xll.QIns_CreateEuropeanFxOption(A6&amp;"_opt_"&amp;ROW()-1,E6,A6,D6,C6,B6,"USD",F6,"2b",H6)</f>
        <v>USD/ZAR_opt_5¬0</v>
      </c>
      <c r="J6" s="84">
        <f ca="1">_xll.QIns_ProductPV(I6,MetalCurves!$AM$21,"ZAR")</f>
        <v>0</v>
      </c>
      <c r="K6" s="11">
        <f t="shared" ca="1" si="0"/>
        <v>0</v>
      </c>
    </row>
    <row r="7" spans="1:14" x14ac:dyDescent="0.25">
      <c r="A7" s="57" t="s">
        <v>82</v>
      </c>
      <c r="B7" s="143">
        <v>-500000</v>
      </c>
      <c r="C7" s="57" t="s">
        <v>81</v>
      </c>
      <c r="D7" s="84">
        <f t="shared" si="1"/>
        <v>13.105345</v>
      </c>
      <c r="E7" s="1">
        <f>BackPricing!C24</f>
        <v>430.53612294409356</v>
      </c>
      <c r="F7" s="1">
        <f>_xll.QDates_SpotDate(E7,"2b",RIGHT(A7,3),LEFT(A7,3))</f>
        <v>432</v>
      </c>
      <c r="G7" s="122" t="e">
        <f ca="1">_xll.QCurves_GetForwardFxRate(FundingFx!$B$27,F7,A7)</f>
        <v>#NUM!</v>
      </c>
      <c r="H7" s="57" t="str">
        <f>VLOOKUP(RIGHT(A7,3),FundingFx!$D$18:$E$19,2,FALSE)</f>
        <v>ZAR.DISC.[USD.LIBOR.3M]</v>
      </c>
      <c r="I7" s="57" t="str">
        <f>_xll.QIns_CreateEuropeanFxOption(A7&amp;"_opt_"&amp;ROW()-1,E7,A7,D7,C7,B7,"USD",F7,"2b",H7)</f>
        <v>USD/ZAR_opt_6¬0</v>
      </c>
      <c r="J7" s="84">
        <f ca="1">_xll.QIns_ProductPV(I7,MetalCurves!$AM$21,"ZAR")</f>
        <v>0</v>
      </c>
      <c r="K7" s="11">
        <f t="shared" ca="1" si="0"/>
        <v>0</v>
      </c>
    </row>
    <row r="8" spans="1:14" x14ac:dyDescent="0.25">
      <c r="A8" s="57" t="s">
        <v>82</v>
      </c>
      <c r="B8" s="143">
        <v>-500000</v>
      </c>
      <c r="C8" s="57" t="s">
        <v>81</v>
      </c>
      <c r="D8" s="84">
        <f t="shared" si="1"/>
        <v>13.105345</v>
      </c>
      <c r="E8" s="1">
        <f>BackPricing!C25</f>
        <v>100.75157850607027</v>
      </c>
      <c r="F8" s="1">
        <f>_xll.QDates_SpotDate(E8,"2b",RIGHT(A8,3),LEFT(A8,3))</f>
        <v>102</v>
      </c>
      <c r="G8" s="122" t="e">
        <f ca="1">_xll.QCurves_GetForwardFxRate(FundingFx!$B$27,F8,A8)</f>
        <v>#NUM!</v>
      </c>
      <c r="H8" s="57" t="str">
        <f>VLOOKUP(RIGHT(A8,3),FundingFx!$D$18:$E$19,2,FALSE)</f>
        <v>ZAR.DISC.[USD.LIBOR.3M]</v>
      </c>
      <c r="I8" s="57" t="str">
        <f>_xll.QIns_CreateEuropeanFxOption(A8&amp;"_opt_"&amp;ROW()-1,E8,A8,D8,C8,B8,"USD",F8,"2b",H8)</f>
        <v>USD/ZAR_opt_7¬0</v>
      </c>
      <c r="J8" s="84">
        <f ca="1">_xll.QIns_ProductPV(I8,MetalCurves!$AM$21,"ZAR")</f>
        <v>0</v>
      </c>
      <c r="K8" s="11">
        <f t="shared" ca="1" si="0"/>
        <v>0</v>
      </c>
    </row>
    <row r="9" spans="1:14" x14ac:dyDescent="0.25">
      <c r="A9" s="57" t="s">
        <v>82</v>
      </c>
      <c r="B9" s="143">
        <v>-500000</v>
      </c>
      <c r="C9" s="57" t="s">
        <v>81</v>
      </c>
      <c r="D9" s="84">
        <f t="shared" si="1"/>
        <v>13.105345</v>
      </c>
      <c r="E9" s="1">
        <f>BackPricing!C26</f>
        <v>109.36985097540253</v>
      </c>
      <c r="F9" s="1">
        <f>_xll.QDates_SpotDate(E9,"2b",RIGHT(A9,3),LEFT(A9,3))</f>
        <v>111</v>
      </c>
      <c r="G9" s="122" t="e">
        <f ca="1">_xll.QCurves_GetForwardFxRate(FundingFx!$B$27,F9,A9)</f>
        <v>#NUM!</v>
      </c>
      <c r="H9" s="57" t="str">
        <f>VLOOKUP(RIGHT(A9,3),FundingFx!$D$18:$E$19,2,FALSE)</f>
        <v>ZAR.DISC.[USD.LIBOR.3M]</v>
      </c>
      <c r="I9" s="57" t="str">
        <f>_xll.QIns_CreateEuropeanFxOption(A9&amp;"_opt_"&amp;ROW()-1,E9,A9,D9,C9,B9,"USD",F9,"2b",H9)</f>
        <v>USD/ZAR_opt_8¬0</v>
      </c>
      <c r="J9" s="84">
        <f ca="1">_xll.QIns_ProductPV(I9,MetalCurves!$AM$21,"ZAR")</f>
        <v>0</v>
      </c>
      <c r="K9" s="11">
        <f t="shared" ca="1" si="0"/>
        <v>0</v>
      </c>
    </row>
    <row r="10" spans="1:14" x14ac:dyDescent="0.25">
      <c r="A10" s="57" t="s">
        <v>82</v>
      </c>
      <c r="B10" s="143">
        <v>-500000</v>
      </c>
      <c r="C10" s="57" t="s">
        <v>81</v>
      </c>
      <c r="D10" s="84">
        <f t="shared" si="1"/>
        <v>13.105345</v>
      </c>
      <c r="E10" s="1">
        <f>BackPricing!C27</f>
        <v>8.521312854019703</v>
      </c>
      <c r="F10" s="1">
        <f>_xll.QDates_SpotDate(E10,"2b",RIGHT(A10,3),LEFT(A10,3))</f>
        <v>10</v>
      </c>
      <c r="G10" s="122" t="e">
        <f ca="1">_xll.QCurves_GetForwardFxRate(FundingFx!$B$27,F10,A10)</f>
        <v>#NUM!</v>
      </c>
      <c r="H10" s="57" t="str">
        <f>VLOOKUP(RIGHT(A10,3),FundingFx!$D$18:$E$19,2,FALSE)</f>
        <v>ZAR.DISC.[USD.LIBOR.3M]</v>
      </c>
      <c r="I10" s="57" t="str">
        <f>_xll.QIns_CreateEuropeanFxOption(A10&amp;"_opt_"&amp;ROW()-1,E10,A10,D10,C10,B10,"USD",F10,"2b",H10)</f>
        <v>USD/ZAR_opt_9¬0</v>
      </c>
      <c r="J10" s="84">
        <f ca="1">_xll.QIns_ProductPV(I10,MetalCurves!$AM$21,"ZAR")</f>
        <v>0</v>
      </c>
      <c r="K10" s="11">
        <f t="shared" ca="1" si="0"/>
        <v>0</v>
      </c>
    </row>
    <row r="11" spans="1:14" x14ac:dyDescent="0.25">
      <c r="A11" s="57" t="s">
        <v>82</v>
      </c>
      <c r="B11" s="143">
        <v>-500000</v>
      </c>
      <c r="C11" s="57" t="s">
        <v>81</v>
      </c>
      <c r="D11" s="84">
        <f t="shared" si="1"/>
        <v>13.105345</v>
      </c>
      <c r="E11" s="1">
        <f>BackPricing!C28</f>
        <v>11.930507403306423</v>
      </c>
      <c r="F11" s="1">
        <f>_xll.QDates_SpotDate(E11,"2b",RIGHT(A11,3),LEFT(A11,3))</f>
        <v>13</v>
      </c>
      <c r="G11" s="122" t="e">
        <f ca="1">_xll.QCurves_GetForwardFxRate(FundingFx!$B$27,F11,A11)</f>
        <v>#NUM!</v>
      </c>
      <c r="H11" s="57" t="str">
        <f>VLOOKUP(RIGHT(A11,3),FundingFx!$D$18:$E$19,2,FALSE)</f>
        <v>ZAR.DISC.[USD.LIBOR.3M]</v>
      </c>
      <c r="I11" s="57" t="str">
        <f>_xll.QIns_CreateEuropeanFxOption(A11&amp;"_opt_"&amp;ROW()-1,E11,A11,D11,C11,B11,"USD",F11,"2b",H11)</f>
        <v>USD/ZAR_opt_10¬0</v>
      </c>
      <c r="J11" s="84">
        <f ca="1">_xll.QIns_ProductPV(I11,MetalCurves!$AM$21,"ZAR")</f>
        <v>0</v>
      </c>
      <c r="K11" s="11">
        <f t="shared" ca="1" si="0"/>
        <v>0</v>
      </c>
    </row>
    <row r="12" spans="1:14" x14ac:dyDescent="0.25">
      <c r="A12" s="57" t="s">
        <v>82</v>
      </c>
      <c r="B12" s="143">
        <v>-500000</v>
      </c>
      <c r="C12" s="57" t="s">
        <v>81</v>
      </c>
      <c r="D12" s="84">
        <f t="shared" si="1"/>
        <v>13.105345</v>
      </c>
      <c r="E12" s="1" t="str">
        <f>BackPricing!C29</f>
        <v/>
      </c>
      <c r="F12" s="1" t="e">
        <f>_xll.QDates_SpotDate(E12,"2b",RIGHT(A12,3),LEFT(A12,3))</f>
        <v>#VALUE!</v>
      </c>
      <c r="G12" s="122" t="e">
        <f ca="1">_xll.QCurves_GetForwardFxRate(FundingFx!$B$27,F12,A12)</f>
        <v>#VALUE!</v>
      </c>
      <c r="H12" s="57" t="str">
        <f>VLOOKUP(RIGHT(A12,3),FundingFx!$D$18:$E$19,2,FALSE)</f>
        <v>ZAR.DISC.[USD.LIBOR.3M]</v>
      </c>
      <c r="I12" s="57" t="e">
        <f>_xll.QIns_CreateEuropeanFxOption(A12&amp;"_opt_"&amp;ROW()-1,E12,A12,D12,C12,B12,"USD",F12,"2b",H12)</f>
        <v>#VALUE!</v>
      </c>
      <c r="J12" s="84" t="e">
        <f>_xll.QIns_ProductPV(I12,MetalCurves!$AM$21,"ZAR")</f>
        <v>#VALUE!</v>
      </c>
      <c r="K12" s="11" t="e">
        <f t="shared" ca="1" si="0"/>
        <v>#VALUE!</v>
      </c>
    </row>
    <row r="13" spans="1:14" x14ac:dyDescent="0.25">
      <c r="A13" s="57" t="s">
        <v>82</v>
      </c>
      <c r="B13" s="143">
        <v>-500000</v>
      </c>
      <c r="C13" s="57" t="s">
        <v>81</v>
      </c>
      <c r="D13" s="84">
        <f t="shared" si="1"/>
        <v>13.105345</v>
      </c>
      <c r="E13" s="1" t="str">
        <f>BackPricing!C30</f>
        <v/>
      </c>
      <c r="F13" s="1" t="e">
        <f>_xll.QDates_SpotDate(E13,"2b",RIGHT(A13,3),LEFT(A13,3))</f>
        <v>#VALUE!</v>
      </c>
      <c r="G13" s="122" t="e">
        <f ca="1">_xll.QCurves_GetForwardFxRate(FundingFx!$B$27,F13,A13)</f>
        <v>#VALUE!</v>
      </c>
      <c r="H13" s="57" t="str">
        <f>VLOOKUP(RIGHT(A13,3),FundingFx!$D$18:$E$19,2,FALSE)</f>
        <v>ZAR.DISC.[USD.LIBOR.3M]</v>
      </c>
      <c r="I13" s="57" t="e">
        <f>_xll.QIns_CreateEuropeanFxOption(A13&amp;"_opt_"&amp;ROW()-1,E13,A13,D13,C13,B13,"USD",F13,"2b",H13)</f>
        <v>#VALUE!</v>
      </c>
      <c r="J13" s="84" t="e">
        <f>_xll.QIns_ProductPV(I13,MetalCurves!$AM$21,"ZAR")</f>
        <v>#VALUE!</v>
      </c>
      <c r="K13" s="11" t="e">
        <f t="shared" ca="1" si="0"/>
        <v>#VALUE!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DF9D-7846-4683-8028-444A97FB575A}">
  <sheetPr codeName="Sheet7"/>
  <dimension ref="A1:V57"/>
  <sheetViews>
    <sheetView tabSelected="1" workbookViewId="0">
      <selection activeCell="D15" sqref="D15"/>
    </sheetView>
  </sheetViews>
  <sheetFormatPr defaultRowHeight="15" x14ac:dyDescent="0.25"/>
  <cols>
    <col min="1" max="1" width="14.42578125" bestFit="1" customWidth="1"/>
    <col min="2" max="2" width="13.28515625" bestFit="1" customWidth="1"/>
    <col min="3" max="4" width="11.42578125" bestFit="1" customWidth="1"/>
    <col min="5" max="5" width="13.140625" bestFit="1" customWidth="1"/>
    <col min="6" max="6" width="18" customWidth="1"/>
    <col min="7" max="8" width="16.85546875" bestFit="1" customWidth="1"/>
    <col min="9" max="9" width="9.28515625" bestFit="1" customWidth="1"/>
    <col min="10" max="10" width="15.28515625" bestFit="1" customWidth="1"/>
    <col min="12" max="12" width="10.140625" bestFit="1" customWidth="1"/>
    <col min="14" max="14" width="9.28515625" bestFit="1" customWidth="1"/>
    <col min="15" max="15" width="11" bestFit="1" customWidth="1"/>
    <col min="16" max="16" width="10.28515625" style="84" bestFit="1" customWidth="1"/>
    <col min="17" max="17" width="11.5703125" style="84" bestFit="1" customWidth="1"/>
    <col min="21" max="21" width="9.5703125" style="84" bestFit="1" customWidth="1"/>
  </cols>
  <sheetData>
    <row r="1" spans="1:21" x14ac:dyDescent="0.25">
      <c r="A1" t="s">
        <v>144</v>
      </c>
      <c r="B1" s="82" t="s">
        <v>102</v>
      </c>
      <c r="E1" t="s">
        <v>101</v>
      </c>
      <c r="F1" s="2" t="s">
        <v>97</v>
      </c>
      <c r="G1" s="118">
        <f>2^15</f>
        <v>32768</v>
      </c>
      <c r="I1" s="2" t="s">
        <v>134</v>
      </c>
      <c r="J1" t="str">
        <f>VLOOKUP(G6,FundingFx!$D$18:$E$19,2,FALSE)</f>
        <v>USD.LIBOR.3M</v>
      </c>
      <c r="L1" s="1"/>
      <c r="N1" t="str">
        <f t="array" ref="N1:Q16">_xll.QCube_DisplayCube(B2)</f>
        <v>TradeId</v>
      </c>
      <c r="O1" t="str">
        <v>TradeType</v>
      </c>
      <c r="P1" s="84" t="str">
        <v>Currency</v>
      </c>
      <c r="Q1" s="84" t="str">
        <v>Value</v>
      </c>
    </row>
    <row r="2" spans="1:21" x14ac:dyDescent="0.25">
      <c r="A2" t="s">
        <v>96</v>
      </c>
      <c r="B2" s="83" t="str">
        <f>IF(B1="On",_xll.QModels_McPortfolioPV(A2,I7,MetalCurves!AM21,E2,G6),A2)</f>
        <v>MCPV</v>
      </c>
      <c r="E2" t="str">
        <f>_xll.QModels_CreateMcSettings(E1,G1,G2,G3,,,G6,G4,,G5)</f>
        <v>MCSettings¬1</v>
      </c>
      <c r="F2" s="2" t="s">
        <v>98</v>
      </c>
      <c r="G2" s="118">
        <v>250</v>
      </c>
      <c r="L2" s="1"/>
      <c r="N2" t="str">
        <v>BP_1</v>
      </c>
      <c r="O2" t="str">
        <v>BackPricing</v>
      </c>
      <c r="P2" s="84" t="str">
        <v>USD</v>
      </c>
      <c r="Q2" s="84">
        <v>41682.857982953923</v>
      </c>
    </row>
    <row r="3" spans="1:21" x14ac:dyDescent="0.25">
      <c r="F3" s="2" t="s">
        <v>99</v>
      </c>
      <c r="G3" t="s">
        <v>100</v>
      </c>
      <c r="L3" s="1"/>
      <c r="N3" t="str">
        <v>BP_2</v>
      </c>
      <c r="O3" t="str">
        <v>BackPricing</v>
      </c>
      <c r="P3" s="84" t="str">
        <v>USD</v>
      </c>
      <c r="Q3" s="84">
        <v>17043.912213737116</v>
      </c>
    </row>
    <row r="4" spans="1:21" x14ac:dyDescent="0.25">
      <c r="A4" s="57" t="s">
        <v>145</v>
      </c>
      <c r="B4" s="82" t="s">
        <v>102</v>
      </c>
      <c r="E4" t="s">
        <v>147</v>
      </c>
      <c r="F4" s="2" t="s">
        <v>103</v>
      </c>
      <c r="G4" t="b">
        <v>1</v>
      </c>
      <c r="L4" s="1"/>
      <c r="N4" t="str">
        <v>BP_3</v>
      </c>
      <c r="O4" t="str">
        <v>BackPricing</v>
      </c>
      <c r="P4" s="84" t="str">
        <v>USD</v>
      </c>
      <c r="Q4" s="84">
        <v>8915.5959676395614</v>
      </c>
    </row>
    <row r="5" spans="1:21" x14ac:dyDescent="0.25">
      <c r="A5" s="57" t="s">
        <v>146</v>
      </c>
      <c r="B5" s="83" t="str">
        <f>IF(B4="On",_xll.QRisk_PortfolioDelta(A5,$I$7,$E$5,FALSE),A5)</f>
        <v>MCDelta</v>
      </c>
      <c r="E5" t="str">
        <f ca="1">_xll.QModels_CreateMcModel(E4,MetalCurves!AM21,E2)</f>
        <v>McModel¬2</v>
      </c>
      <c r="F5" s="2" t="s">
        <v>105</v>
      </c>
      <c r="G5" t="b">
        <v>1</v>
      </c>
      <c r="L5" s="1"/>
      <c r="N5" t="e">
        <v>#N/A</v>
      </c>
      <c r="O5" t="e">
        <v>#N/A</v>
      </c>
      <c r="P5" s="84" t="e">
        <v>#N/A</v>
      </c>
      <c r="Q5" s="84" t="e">
        <v>#N/A</v>
      </c>
    </row>
    <row r="6" spans="1:21" x14ac:dyDescent="0.25">
      <c r="F6" s="2" t="s">
        <v>95</v>
      </c>
      <c r="G6" t="s">
        <v>26</v>
      </c>
      <c r="L6" s="1"/>
      <c r="N6" t="e">
        <v>#N/A</v>
      </c>
      <c r="O6" t="e">
        <v>#N/A</v>
      </c>
      <c r="P6" s="84" t="e">
        <v>#N/A</v>
      </c>
      <c r="Q6" s="84" t="e">
        <v>#N/A</v>
      </c>
    </row>
    <row r="7" spans="1:21" x14ac:dyDescent="0.25">
      <c r="I7" t="str">
        <f>_xll.QIns_CreatePortfolio("bp~pf",I9:I22)</f>
        <v>bp~pf¬1</v>
      </c>
      <c r="L7" s="1"/>
      <c r="N7" t="e">
        <v>#N/A</v>
      </c>
      <c r="O7" t="e">
        <v>#N/A</v>
      </c>
      <c r="P7" s="84" t="e">
        <v>#N/A</v>
      </c>
      <c r="Q7" s="84" t="e">
        <v>#N/A</v>
      </c>
    </row>
    <row r="8" spans="1:21" s="129" customFormat="1" x14ac:dyDescent="0.25">
      <c r="A8" s="129" t="s">
        <v>104</v>
      </c>
      <c r="B8" s="129" t="s">
        <v>140</v>
      </c>
      <c r="C8" s="129" t="s">
        <v>94</v>
      </c>
      <c r="D8" s="129" t="s">
        <v>143</v>
      </c>
      <c r="E8" s="129" t="s">
        <v>92</v>
      </c>
      <c r="F8" s="129" t="s">
        <v>93</v>
      </c>
      <c r="G8" s="129" t="s">
        <v>139</v>
      </c>
      <c r="H8" s="129" t="s">
        <v>141</v>
      </c>
      <c r="I8" s="129" t="s">
        <v>142</v>
      </c>
      <c r="J8" s="129" t="s">
        <v>45</v>
      </c>
      <c r="L8" s="144"/>
      <c r="N8" s="129" t="e">
        <v>#N/A</v>
      </c>
      <c r="O8" s="129" t="e">
        <v>#N/A</v>
      </c>
      <c r="P8" s="145" t="e">
        <v>#N/A</v>
      </c>
      <c r="Q8" s="145" t="e">
        <v>#N/A</v>
      </c>
      <c r="U8" s="145"/>
    </row>
    <row r="9" spans="1:21" ht="14.25" customHeight="1" x14ac:dyDescent="0.25">
      <c r="A9" t="str">
        <f>"BP_"&amp;ROW()-ROW($A$8)</f>
        <v>BP_1</v>
      </c>
      <c r="B9" t="s">
        <v>5</v>
      </c>
      <c r="C9" t="s">
        <v>79</v>
      </c>
      <c r="D9" s="84">
        <v>250</v>
      </c>
      <c r="E9" s="1">
        <v>43525</v>
      </c>
      <c r="F9" s="1">
        <f>_xll.QDates_LastDay(E9)</f>
        <v>43555</v>
      </c>
      <c r="G9" s="1">
        <f>_xll.QDates_LastDay(F9+1)</f>
        <v>43585</v>
      </c>
      <c r="H9" s="1">
        <f>_xll.QDates_AddPeriod(G9,"2b","F","USD")</f>
        <v>43587</v>
      </c>
      <c r="I9" t="str">
        <f>_xll.QIns_CreateBackPricingOption(A9,E9:G9,B9,$G$6,C9,D9,"USD","USD",H9,"2b",,$J$1)</f>
        <v>BP_1¬1</v>
      </c>
      <c r="J9" s="84">
        <f>VLOOKUP(A9,$N$1:$Q$16,4,FALSE)</f>
        <v>41682.857982953923</v>
      </c>
      <c r="L9" s="1"/>
      <c r="N9" t="e">
        <v>#N/A</v>
      </c>
      <c r="O9" t="e">
        <v>#N/A</v>
      </c>
      <c r="P9" s="84" t="e">
        <v>#N/A</v>
      </c>
      <c r="Q9" s="84" t="e">
        <v>#N/A</v>
      </c>
    </row>
    <row r="10" spans="1:21" x14ac:dyDescent="0.25">
      <c r="A10" s="57" t="str">
        <f t="shared" ref="A10:A11" si="0">"BP_"&amp;ROW()-ROW($A$8)</f>
        <v>BP_2</v>
      </c>
      <c r="B10" s="57" t="s">
        <v>5</v>
      </c>
      <c r="C10" s="57" t="s">
        <v>79</v>
      </c>
      <c r="D10" s="84">
        <v>100</v>
      </c>
      <c r="E10" s="1">
        <v>43556</v>
      </c>
      <c r="F10" s="1">
        <f>_xll.QDates_LastDay(E10)</f>
        <v>43585</v>
      </c>
      <c r="G10" s="1">
        <f>_xll.QDates_LastDay(F10+1)</f>
        <v>43616</v>
      </c>
      <c r="H10" s="1">
        <f>_xll.QDates_AddPeriod(G10,"2b","F","USD")</f>
        <v>43620</v>
      </c>
      <c r="I10" s="57" t="str">
        <f>_xll.QIns_CreateBackPricingOption(A10,E10:G10,B10,$G$6,C10,D10,"USD","USD",H10,"2b",,$J$1)</f>
        <v>BP_2¬1</v>
      </c>
      <c r="J10" s="84">
        <f t="shared" ref="J10:J11" si="1">VLOOKUP(A10,$N$1:$Q$16,4,FALSE)</f>
        <v>17043.912213737116</v>
      </c>
      <c r="L10" s="1"/>
      <c r="N10" t="e">
        <v>#N/A</v>
      </c>
      <c r="O10" t="e">
        <v>#N/A</v>
      </c>
      <c r="P10" s="84" t="e">
        <v>#N/A</v>
      </c>
      <c r="Q10" s="84" t="e">
        <v>#N/A</v>
      </c>
    </row>
    <row r="11" spans="1:21" x14ac:dyDescent="0.25">
      <c r="A11" s="57" t="str">
        <f t="shared" si="0"/>
        <v>BP_3</v>
      </c>
      <c r="B11" s="57" t="s">
        <v>5</v>
      </c>
      <c r="C11" s="57" t="s">
        <v>79</v>
      </c>
      <c r="D11" s="84">
        <v>50</v>
      </c>
      <c r="E11" s="1">
        <v>43617</v>
      </c>
      <c r="F11" s="1">
        <f>_xll.QDates_LastDay(E11)</f>
        <v>43646</v>
      </c>
      <c r="G11" s="1">
        <f>_xll.QDates_LastDay(F11+1)</f>
        <v>43677</v>
      </c>
      <c r="H11" s="1">
        <f>_xll.QDates_AddPeriod(G11,"2b","F","USD")</f>
        <v>43679</v>
      </c>
      <c r="I11" s="57" t="str">
        <f>_xll.QIns_CreateBackPricingOption(A11,E11:G11,B11,$G$6,C11,D11,"USD","USD",H11,"2b",,$J$1)</f>
        <v>BP_3¬1</v>
      </c>
      <c r="J11" s="84">
        <f t="shared" si="1"/>
        <v>8915.5959676395614</v>
      </c>
      <c r="L11" s="1"/>
      <c r="N11" t="e">
        <v>#N/A</v>
      </c>
      <c r="O11" t="e">
        <v>#N/A</v>
      </c>
      <c r="P11" s="84" t="e">
        <v>#N/A</v>
      </c>
      <c r="Q11" s="84" t="e">
        <v>#N/A</v>
      </c>
    </row>
    <row r="12" spans="1:21" x14ac:dyDescent="0.25">
      <c r="L12" s="1"/>
      <c r="N12" t="e">
        <v>#N/A</v>
      </c>
      <c r="O12" t="e">
        <v>#N/A</v>
      </c>
      <c r="P12" s="84" t="e">
        <v>#N/A</v>
      </c>
      <c r="Q12" s="84" t="e">
        <v>#N/A</v>
      </c>
    </row>
    <row r="13" spans="1:21" x14ac:dyDescent="0.25">
      <c r="F13" s="1"/>
      <c r="G13" s="84"/>
      <c r="H13" s="84"/>
      <c r="J13" s="14"/>
      <c r="L13" s="1"/>
      <c r="N13" t="e">
        <v>#N/A</v>
      </c>
      <c r="O13" t="e">
        <v>#N/A</v>
      </c>
      <c r="P13" s="84" t="e">
        <v>#N/A</v>
      </c>
      <c r="Q13" s="84" t="e">
        <v>#N/A</v>
      </c>
    </row>
    <row r="14" spans="1:21" x14ac:dyDescent="0.25">
      <c r="A14" s="1"/>
      <c r="B14" s="1"/>
      <c r="C14" s="1"/>
      <c r="F14" s="1"/>
      <c r="G14" s="84"/>
      <c r="H14" s="84"/>
      <c r="J14" s="14"/>
      <c r="L14" s="1"/>
      <c r="N14" t="e">
        <v>#N/A</v>
      </c>
      <c r="O14" t="e">
        <v>#N/A</v>
      </c>
      <c r="P14" s="84" t="e">
        <v>#N/A</v>
      </c>
      <c r="Q14" s="84" t="e">
        <v>#N/A</v>
      </c>
    </row>
    <row r="15" spans="1:21" x14ac:dyDescent="0.25">
      <c r="F15" s="1"/>
      <c r="G15" s="84"/>
      <c r="H15" s="84"/>
      <c r="J15" s="14"/>
      <c r="L15" s="1"/>
      <c r="N15" t="e">
        <v>#N/A</v>
      </c>
      <c r="O15" t="e">
        <v>#N/A</v>
      </c>
      <c r="P15" s="84" t="e">
        <v>#N/A</v>
      </c>
      <c r="Q15" s="84" t="e">
        <v>#N/A</v>
      </c>
    </row>
    <row r="16" spans="1:21" x14ac:dyDescent="0.25">
      <c r="F16" s="1"/>
      <c r="G16" s="84"/>
      <c r="H16" s="84"/>
      <c r="J16" s="14"/>
      <c r="L16" s="1"/>
      <c r="N16" t="e">
        <v>#N/A</v>
      </c>
      <c r="O16" t="e">
        <v>#N/A</v>
      </c>
      <c r="P16" s="84" t="e">
        <v>#N/A</v>
      </c>
      <c r="Q16" s="84" t="e">
        <v>#N/A</v>
      </c>
    </row>
    <row r="17" spans="1:22" x14ac:dyDescent="0.25">
      <c r="F17" s="1"/>
      <c r="G17" s="84"/>
      <c r="H17" s="84"/>
      <c r="J17" s="14"/>
      <c r="L17" s="1"/>
    </row>
    <row r="18" spans="1:22" x14ac:dyDescent="0.25">
      <c r="B18" s="2" t="s">
        <v>148</v>
      </c>
      <c r="C18" s="84">
        <f>SUM(C20:C36)</f>
        <v>878.20395711117794</v>
      </c>
      <c r="F18" s="1"/>
      <c r="G18" s="84"/>
      <c r="H18" s="84"/>
      <c r="J18" s="14"/>
      <c r="L18" s="1"/>
    </row>
    <row r="19" spans="1:22" x14ac:dyDescent="0.25">
      <c r="B19" s="84">
        <f t="array" ref="B19:D36">_xll.QCube_CubeToMatrix(B5,"PointLabel","AssetId")</f>
        <v>0</v>
      </c>
      <c r="C19" s="1" t="str">
        <v>CA</v>
      </c>
      <c r="D19" t="str">
        <v/>
      </c>
      <c r="F19" s="1"/>
      <c r="G19" s="84"/>
      <c r="H19" s="84"/>
      <c r="J19" s="14"/>
      <c r="L19" s="1"/>
      <c r="N19" s="57" t="str">
        <f t="array" ref="N19:U39">_xll.QCube_DisplayCube(B5)</f>
        <v>TradeId</v>
      </c>
      <c r="O19" s="57" t="str">
        <v>TradeType</v>
      </c>
      <c r="P19" s="84" t="str">
        <v>AssetId</v>
      </c>
      <c r="Q19" s="146" t="str">
        <v>PointDate</v>
      </c>
      <c r="R19" t="str">
        <v>PointLabel</v>
      </c>
      <c r="S19" t="str">
        <v>Metric</v>
      </c>
      <c r="T19" t="str">
        <v>CurveType</v>
      </c>
      <c r="U19" s="84" t="str">
        <v>Value</v>
      </c>
    </row>
    <row r="20" spans="1:22" x14ac:dyDescent="0.25">
      <c r="A20" s="57"/>
      <c r="B20" s="1" t="str">
        <v>00</v>
      </c>
      <c r="C20" s="84">
        <v>-304.29738728269115</v>
      </c>
      <c r="D20" s="57" t="str">
        <v/>
      </c>
      <c r="F20" s="1"/>
      <c r="G20" s="84"/>
      <c r="H20" s="84"/>
      <c r="J20" s="14"/>
      <c r="L20" s="1"/>
      <c r="N20" s="57" t="str">
        <v>BP_1</v>
      </c>
      <c r="O20" s="57" t="str">
        <v>BackPricing</v>
      </c>
      <c r="P20" s="84" t="str">
        <v>CA</v>
      </c>
      <c r="Q20" s="146">
        <v>43487</v>
      </c>
      <c r="R20" t="str">
        <v>00</v>
      </c>
      <c r="S20" t="str">
        <v>Delta</v>
      </c>
      <c r="T20" t="str">
        <v>Outright</v>
      </c>
      <c r="U20" s="84">
        <v>-243.96673856983585</v>
      </c>
    </row>
    <row r="21" spans="1:22" x14ac:dyDescent="0.25">
      <c r="A21" s="57"/>
      <c r="B21" s="1" t="str">
        <v>G19</v>
      </c>
      <c r="C21" s="84">
        <v>17.8530371361432</v>
      </c>
      <c r="D21" s="57" t="str">
        <v/>
      </c>
      <c r="F21" s="1"/>
      <c r="G21" s="84"/>
      <c r="H21" s="84"/>
      <c r="J21" s="14"/>
      <c r="L21" s="1"/>
      <c r="N21" s="57" t="str">
        <v>BP_2</v>
      </c>
      <c r="O21" s="57" t="str">
        <v>BackPricing</v>
      </c>
      <c r="P21" s="84" t="str">
        <v>CA</v>
      </c>
      <c r="Q21" s="146">
        <v>43487</v>
      </c>
      <c r="R21" t="str">
        <v>00</v>
      </c>
      <c r="S21" t="str">
        <v>Delta</v>
      </c>
      <c r="T21" t="str">
        <v>Outright</v>
      </c>
      <c r="U21" s="84">
        <v>11.058480767236533</v>
      </c>
    </row>
    <row r="22" spans="1:22" x14ac:dyDescent="0.25">
      <c r="A22" s="57"/>
      <c r="B22" s="1" t="str">
        <v>H19</v>
      </c>
      <c r="C22" s="84">
        <v>238.88306296300914</v>
      </c>
      <c r="D22" s="57" t="str">
        <v/>
      </c>
      <c r="F22" s="1"/>
      <c r="G22" s="84"/>
      <c r="H22" s="84"/>
      <c r="J22" s="14"/>
      <c r="L22" s="1"/>
      <c r="N22" s="57" t="str">
        <v>BP_3</v>
      </c>
      <c r="O22" s="57" t="str">
        <v>BackPricing</v>
      </c>
      <c r="P22" s="84" t="str">
        <v>CA</v>
      </c>
      <c r="Q22" s="146">
        <v>43487</v>
      </c>
      <c r="R22" t="str">
        <v>00</v>
      </c>
      <c r="S22" t="str">
        <v>Delta</v>
      </c>
      <c r="T22" t="str">
        <v>Outright</v>
      </c>
      <c r="U22" s="84">
        <v>-71.389129480091853</v>
      </c>
    </row>
    <row r="23" spans="1:22" x14ac:dyDescent="0.25">
      <c r="A23" s="57"/>
      <c r="B23" s="1" t="str">
        <v>J19</v>
      </c>
      <c r="C23" s="84">
        <v>264.65587161182418</v>
      </c>
      <c r="D23" s="57" t="str">
        <v/>
      </c>
      <c r="F23" s="1"/>
      <c r="G23" s="84"/>
      <c r="H23" s="84"/>
      <c r="J23" s="14"/>
      <c r="L23" s="1"/>
      <c r="N23" s="57" t="str">
        <v>BP_1</v>
      </c>
      <c r="O23" s="57" t="str">
        <v>BackPricing</v>
      </c>
      <c r="P23" s="84" t="str">
        <v>CA</v>
      </c>
      <c r="Q23" s="146">
        <v>43516</v>
      </c>
      <c r="R23" t="str">
        <v>G19</v>
      </c>
      <c r="S23" t="str">
        <v>Delta</v>
      </c>
      <c r="T23" t="str">
        <v>Outright</v>
      </c>
      <c r="U23" s="84">
        <v>-185.75695183568399</v>
      </c>
    </row>
    <row r="24" spans="1:22" x14ac:dyDescent="0.25">
      <c r="A24" s="57"/>
      <c r="B24" s="1" t="str">
        <v>03</v>
      </c>
      <c r="C24" s="84">
        <v>430.53612294409356</v>
      </c>
      <c r="D24" s="57" t="str">
        <v/>
      </c>
      <c r="F24" s="1"/>
      <c r="G24" s="84"/>
      <c r="H24" s="84"/>
      <c r="J24" s="14"/>
      <c r="L24" s="1"/>
      <c r="N24" s="57" t="str">
        <v>BP_2</v>
      </c>
      <c r="O24" s="57" t="str">
        <v>BackPricing</v>
      </c>
      <c r="P24" s="84" t="str">
        <v>CA</v>
      </c>
      <c r="Q24" s="146">
        <v>43516</v>
      </c>
      <c r="R24" t="str">
        <v>G19</v>
      </c>
      <c r="S24" t="str">
        <v>Delta</v>
      </c>
      <c r="T24" t="str">
        <v>Outright</v>
      </c>
      <c r="U24" s="84">
        <v>27.61104210173211</v>
      </c>
    </row>
    <row r="25" spans="1:22" x14ac:dyDescent="0.25">
      <c r="A25" s="57"/>
      <c r="B25" s="1" t="str">
        <v>K19</v>
      </c>
      <c r="C25" s="84">
        <v>100.75157850607027</v>
      </c>
      <c r="D25" s="57" t="str">
        <v/>
      </c>
      <c r="F25" s="1"/>
      <c r="G25" s="84"/>
      <c r="H25" s="84"/>
      <c r="J25" s="14"/>
      <c r="L25" s="1"/>
      <c r="N25" s="57" t="str">
        <v>BP_3</v>
      </c>
      <c r="O25" s="57" t="str">
        <v>BackPricing</v>
      </c>
      <c r="P25" s="84" t="str">
        <v>CA</v>
      </c>
      <c r="Q25" s="146">
        <v>43516</v>
      </c>
      <c r="R25" t="str">
        <v>G19</v>
      </c>
      <c r="S25" t="str">
        <v>Delta</v>
      </c>
      <c r="T25" t="str">
        <v>Outright</v>
      </c>
      <c r="U25" s="84">
        <v>175.9989468700951</v>
      </c>
    </row>
    <row r="26" spans="1:22" x14ac:dyDescent="0.25">
      <c r="A26" s="57"/>
      <c r="B26" s="1" t="str">
        <v>M19</v>
      </c>
      <c r="C26" s="84">
        <v>109.36985097540253</v>
      </c>
      <c r="D26" s="57" t="str">
        <v/>
      </c>
      <c r="F26" s="1"/>
      <c r="G26" s="84"/>
      <c r="H26" s="84"/>
      <c r="J26" s="14"/>
      <c r="N26" s="57" t="str">
        <v>BP_1</v>
      </c>
      <c r="O26" s="57" t="str">
        <v>BackPricing</v>
      </c>
      <c r="P26" s="84" t="str">
        <v>CA</v>
      </c>
      <c r="Q26" s="146">
        <v>43544</v>
      </c>
      <c r="R26" s="57" t="str">
        <v>H19</v>
      </c>
      <c r="S26" s="57" t="str">
        <v>Delta</v>
      </c>
      <c r="T26" s="57" t="str">
        <v>Outright</v>
      </c>
      <c r="U26" s="84">
        <v>-224.67624385710499</v>
      </c>
      <c r="V26" s="57"/>
    </row>
    <row r="27" spans="1:22" x14ac:dyDescent="0.25">
      <c r="A27" s="57"/>
      <c r="B27" s="1" t="str">
        <v>N19</v>
      </c>
      <c r="C27" s="84">
        <v>8.521312854019703</v>
      </c>
      <c r="D27" s="57" t="str">
        <v/>
      </c>
      <c r="F27" s="1"/>
      <c r="G27" s="84"/>
      <c r="H27" s="84"/>
      <c r="N27" s="57" t="str">
        <v>BP_2</v>
      </c>
      <c r="O27" s="57" t="str">
        <v>BackPricing</v>
      </c>
      <c r="P27" s="84" t="str">
        <v>CA</v>
      </c>
      <c r="Q27" s="146">
        <v>43544</v>
      </c>
      <c r="R27" s="57" t="str">
        <v>H19</v>
      </c>
      <c r="S27" s="57" t="str">
        <v>Delta</v>
      </c>
      <c r="T27" s="57" t="str">
        <v>Outright</v>
      </c>
      <c r="U27" s="84">
        <v>161.00047997860682</v>
      </c>
      <c r="V27" s="57"/>
    </row>
    <row r="28" spans="1:22" x14ac:dyDescent="0.25">
      <c r="A28" s="57"/>
      <c r="B28" s="1" t="str">
        <v>Q19</v>
      </c>
      <c r="C28" s="84">
        <v>11.930507403306423</v>
      </c>
      <c r="D28" s="57" t="str">
        <v/>
      </c>
      <c r="F28" s="1"/>
      <c r="G28" s="84"/>
      <c r="H28" s="84"/>
      <c r="N28" s="57" t="str">
        <v>BP_3</v>
      </c>
      <c r="O28" s="57" t="str">
        <v>BackPricing</v>
      </c>
      <c r="P28" s="84" t="str">
        <v>CA</v>
      </c>
      <c r="Q28" s="146">
        <v>43544</v>
      </c>
      <c r="R28" s="57" t="str">
        <v>H19</v>
      </c>
      <c r="S28" s="57" t="str">
        <v>Delta</v>
      </c>
      <c r="T28" s="57" t="str">
        <v>Outright</v>
      </c>
      <c r="U28" s="84">
        <v>302.55882684150731</v>
      </c>
      <c r="V28" s="57"/>
    </row>
    <row r="29" spans="1:22" x14ac:dyDescent="0.25">
      <c r="A29" s="57"/>
      <c r="B29" s="1" t="str">
        <v/>
      </c>
      <c r="C29" s="84" t="str">
        <v/>
      </c>
      <c r="D29" s="57" t="str">
        <v/>
      </c>
      <c r="F29" s="1"/>
      <c r="G29" s="84"/>
      <c r="H29" s="84"/>
      <c r="N29" s="57" t="str">
        <v>BP_1</v>
      </c>
      <c r="O29" s="57" t="str">
        <v>BackPricing</v>
      </c>
      <c r="P29" s="84" t="str">
        <v>CA</v>
      </c>
      <c r="Q29" s="146">
        <v>43572</v>
      </c>
      <c r="R29" s="57" t="str">
        <v>J19</v>
      </c>
      <c r="S29" s="57" t="str">
        <v>Delta</v>
      </c>
      <c r="T29" s="57" t="str">
        <v>Outright</v>
      </c>
      <c r="U29" s="84">
        <v>-21.496758518705036</v>
      </c>
      <c r="V29" s="57"/>
    </row>
    <row r="30" spans="1:22" x14ac:dyDescent="0.25">
      <c r="A30" s="57"/>
      <c r="B30" s="1" t="str">
        <v/>
      </c>
      <c r="C30" s="84" t="str">
        <v/>
      </c>
      <c r="D30" s="57" t="str">
        <v/>
      </c>
      <c r="F30" s="1"/>
      <c r="G30" s="84"/>
      <c r="H30" s="84"/>
      <c r="N30" s="57" t="str">
        <v>BP_2</v>
      </c>
      <c r="O30" s="57" t="str">
        <v>BackPricing</v>
      </c>
      <c r="P30" s="84" t="str">
        <v>CA</v>
      </c>
      <c r="Q30" s="146">
        <v>43572</v>
      </c>
      <c r="R30" s="57" t="str">
        <v>J19</v>
      </c>
      <c r="S30" s="57" t="str">
        <v>Delta</v>
      </c>
      <c r="T30" s="57" t="str">
        <v>Outright</v>
      </c>
      <c r="U30" s="84">
        <v>186.6114826203349</v>
      </c>
      <c r="V30" s="57"/>
    </row>
    <row r="31" spans="1:22" x14ac:dyDescent="0.25">
      <c r="A31" s="57"/>
      <c r="B31" s="1" t="str">
        <v/>
      </c>
      <c r="C31" s="1" t="str">
        <v/>
      </c>
      <c r="D31" s="57" t="str">
        <v/>
      </c>
      <c r="F31" s="1"/>
      <c r="G31" s="84"/>
      <c r="H31" s="84"/>
      <c r="N31" s="57" t="str">
        <v>BP_3</v>
      </c>
      <c r="O31" s="57" t="str">
        <v>BackPricing</v>
      </c>
      <c r="P31" s="84" t="str">
        <v>CA</v>
      </c>
      <c r="Q31" s="146">
        <v>43572</v>
      </c>
      <c r="R31" s="57" t="str">
        <v>J19</v>
      </c>
      <c r="S31" s="57" t="str">
        <v>Delta</v>
      </c>
      <c r="T31" s="57" t="str">
        <v>Outright</v>
      </c>
      <c r="U31" s="84">
        <v>99.541147510194321</v>
      </c>
      <c r="V31" s="57"/>
    </row>
    <row r="32" spans="1:22" x14ac:dyDescent="0.25">
      <c r="A32" s="57"/>
      <c r="B32" s="1" t="str">
        <v/>
      </c>
      <c r="C32" s="1" t="str">
        <v/>
      </c>
      <c r="D32" s="57" t="str">
        <v/>
      </c>
      <c r="F32" s="1"/>
      <c r="G32" s="84"/>
      <c r="H32" s="84"/>
      <c r="N32" s="57" t="str">
        <v>BP_1</v>
      </c>
      <c r="O32" s="57" t="str">
        <v>BackPricing</v>
      </c>
      <c r="P32" s="84" t="str">
        <v>CA</v>
      </c>
      <c r="Q32" s="146">
        <v>43573</v>
      </c>
      <c r="R32" s="57" t="str">
        <v>03</v>
      </c>
      <c r="S32" s="57" t="str">
        <v>Delta</v>
      </c>
      <c r="T32" s="57" t="str">
        <v>Outright</v>
      </c>
      <c r="U32" s="84">
        <v>73.749941887211165</v>
      </c>
      <c r="V32" s="57"/>
    </row>
    <row r="33" spans="1:22" x14ac:dyDescent="0.25">
      <c r="A33" s="57"/>
      <c r="B33" s="1" t="str">
        <v/>
      </c>
      <c r="C33" s="1" t="str">
        <v/>
      </c>
      <c r="D33" s="57" t="str">
        <v/>
      </c>
      <c r="F33" s="1"/>
      <c r="G33" s="84"/>
      <c r="H33" s="84"/>
      <c r="N33" s="57" t="str">
        <v>BP_2</v>
      </c>
      <c r="O33" s="57" t="str">
        <v>BackPricing</v>
      </c>
      <c r="P33" s="84" t="str">
        <v>CA</v>
      </c>
      <c r="Q33" s="146">
        <v>43573</v>
      </c>
      <c r="R33" s="57" t="str">
        <v>03</v>
      </c>
      <c r="S33" s="57" t="str">
        <v>Delta</v>
      </c>
      <c r="T33" s="57" t="str">
        <v>Outright</v>
      </c>
      <c r="U33" s="84">
        <v>19.69294450556951</v>
      </c>
      <c r="V33" s="57"/>
    </row>
    <row r="34" spans="1:22" x14ac:dyDescent="0.25">
      <c r="A34" s="57"/>
      <c r="B34" s="1" t="str">
        <v/>
      </c>
      <c r="C34" s="1" t="str">
        <v/>
      </c>
      <c r="D34" s="57" t="str">
        <v/>
      </c>
      <c r="F34" s="1"/>
      <c r="G34" s="84"/>
      <c r="H34" s="84"/>
      <c r="N34" s="57" t="str">
        <v>BP_3</v>
      </c>
      <c r="O34" s="57" t="str">
        <v>BackPricing</v>
      </c>
      <c r="P34" s="84" t="str">
        <v>CA</v>
      </c>
      <c r="Q34" s="146">
        <v>43573</v>
      </c>
      <c r="R34" s="57" t="str">
        <v>03</v>
      </c>
      <c r="S34" s="57" t="str">
        <v>Delta</v>
      </c>
      <c r="T34" s="57" t="str">
        <v>Outright</v>
      </c>
      <c r="U34" s="84">
        <v>337.09323655131288</v>
      </c>
      <c r="V34" s="57"/>
    </row>
    <row r="35" spans="1:22" x14ac:dyDescent="0.25">
      <c r="A35" s="57"/>
      <c r="B35" s="1" t="str">
        <v/>
      </c>
      <c r="C35" s="1" t="str">
        <v/>
      </c>
      <c r="D35" s="57" t="str">
        <v/>
      </c>
      <c r="F35" s="1"/>
      <c r="G35" s="84"/>
      <c r="H35" s="84"/>
      <c r="N35" s="57" t="str">
        <v>BP_1</v>
      </c>
      <c r="O35" s="57" t="str">
        <v>BackPricing</v>
      </c>
      <c r="P35" s="84" t="str">
        <v>CA</v>
      </c>
      <c r="Q35" s="146">
        <v>43600</v>
      </c>
      <c r="R35" s="57" t="str">
        <v>K19</v>
      </c>
      <c r="S35" s="57" t="str">
        <v>Delta</v>
      </c>
      <c r="T35" s="57" t="str">
        <v>Outright</v>
      </c>
      <c r="U35" s="84">
        <v>66.715865126166335</v>
      </c>
      <c r="V35" s="57"/>
    </row>
    <row r="36" spans="1:22" x14ac:dyDescent="0.25">
      <c r="A36" s="57"/>
      <c r="B36" s="1" t="str">
        <v/>
      </c>
      <c r="C36" s="1" t="str">
        <v/>
      </c>
      <c r="D36" s="57" t="str">
        <v/>
      </c>
      <c r="F36" s="1"/>
      <c r="G36" s="84"/>
      <c r="H36" s="84"/>
      <c r="N36" s="57" t="str">
        <v>BP_2</v>
      </c>
      <c r="O36" s="57" t="str">
        <v>BackPricing</v>
      </c>
      <c r="P36" s="84" t="str">
        <v>CA</v>
      </c>
      <c r="Q36" s="146">
        <v>43600</v>
      </c>
      <c r="R36" s="57" t="str">
        <v>K19</v>
      </c>
      <c r="S36" s="57" t="str">
        <v>Delta</v>
      </c>
      <c r="T36" s="57" t="str">
        <v>Outright</v>
      </c>
      <c r="U36" s="84">
        <v>27.948153354525534</v>
      </c>
      <c r="V36" s="57"/>
    </row>
    <row r="37" spans="1:22" x14ac:dyDescent="0.25">
      <c r="A37" s="57"/>
      <c r="B37" s="1"/>
      <c r="C37" s="1"/>
      <c r="D37" s="57"/>
      <c r="F37" s="1"/>
      <c r="H37" s="84"/>
      <c r="N37" s="57" t="str">
        <v>BP_3</v>
      </c>
      <c r="O37" s="57" t="str">
        <v>BackPricing</v>
      </c>
      <c r="P37" s="84" t="str">
        <v>CA</v>
      </c>
      <c r="Q37" s="146">
        <v>43600</v>
      </c>
      <c r="R37" s="57" t="str">
        <v>K19</v>
      </c>
      <c r="S37" s="57" t="str">
        <v>Delta</v>
      </c>
      <c r="T37" s="57" t="str">
        <v>Outright</v>
      </c>
      <c r="U37" s="84">
        <v>6.0875600253784103</v>
      </c>
      <c r="V37" s="57"/>
    </row>
    <row r="38" spans="1:22" x14ac:dyDescent="0.25">
      <c r="A38" s="57"/>
      <c r="B38" s="1"/>
      <c r="C38" s="1"/>
      <c r="D38" s="57"/>
      <c r="H38" s="84"/>
      <c r="N38" s="57" t="str">
        <v>BP_2</v>
      </c>
      <c r="O38" s="57" t="str">
        <v>BackPricing</v>
      </c>
      <c r="P38" s="84" t="str">
        <v>CA</v>
      </c>
      <c r="Q38" s="146">
        <v>43635</v>
      </c>
      <c r="R38" s="57" t="str">
        <v>M19</v>
      </c>
      <c r="S38" s="57" t="str">
        <v>Delta</v>
      </c>
      <c r="T38" s="57" t="str">
        <v>Outright</v>
      </c>
      <c r="U38" s="84">
        <v>29.441808531472372</v>
      </c>
      <c r="V38" s="57"/>
    </row>
    <row r="39" spans="1:22" x14ac:dyDescent="0.25">
      <c r="A39" s="57"/>
      <c r="B39" s="1"/>
      <c r="C39" s="1"/>
      <c r="D39" s="57"/>
      <c r="H39" s="84"/>
      <c r="N39" s="57" t="str">
        <v>BP_3</v>
      </c>
      <c r="O39" s="57" t="str">
        <v>BackPricing</v>
      </c>
      <c r="P39" s="84" t="str">
        <v>CA</v>
      </c>
      <c r="Q39" s="146">
        <v>43635</v>
      </c>
      <c r="R39" s="57" t="str">
        <v>M19</v>
      </c>
      <c r="S39" s="57" t="str">
        <v>Delta</v>
      </c>
      <c r="T39" s="57" t="str">
        <v>Outright</v>
      </c>
      <c r="U39" s="84">
        <v>79.928042443930153</v>
      </c>
      <c r="V39" s="57"/>
    </row>
    <row r="40" spans="1:22" x14ac:dyDescent="0.25">
      <c r="A40" s="57"/>
      <c r="B40" s="1"/>
      <c r="C40" s="1"/>
      <c r="D40" s="57"/>
      <c r="H40" s="84"/>
      <c r="N40" s="57"/>
      <c r="O40" s="57"/>
      <c r="Q40" s="146"/>
      <c r="R40" s="57"/>
      <c r="S40" s="57"/>
      <c r="T40" s="57"/>
      <c r="V40" s="57"/>
    </row>
    <row r="41" spans="1:22" x14ac:dyDescent="0.25">
      <c r="A41" s="57"/>
      <c r="B41" s="1"/>
      <c r="C41" s="1"/>
      <c r="D41" s="57"/>
      <c r="H41" s="84"/>
      <c r="N41" s="57"/>
      <c r="O41" s="57"/>
      <c r="Q41" s="146"/>
      <c r="R41" s="57"/>
      <c r="S41" s="57"/>
      <c r="T41" s="57"/>
      <c r="V41" s="57"/>
    </row>
    <row r="42" spans="1:22" x14ac:dyDescent="0.25">
      <c r="A42" s="57"/>
      <c r="B42" s="1"/>
      <c r="C42" s="1"/>
      <c r="D42" s="57"/>
      <c r="H42" s="84"/>
      <c r="N42" s="57"/>
      <c r="O42" s="57"/>
      <c r="Q42" s="146"/>
      <c r="R42" s="57"/>
      <c r="S42" s="57"/>
      <c r="T42" s="57"/>
      <c r="V42" s="57"/>
    </row>
    <row r="43" spans="1:22" x14ac:dyDescent="0.25">
      <c r="H43" s="84"/>
      <c r="N43" s="57"/>
      <c r="O43" s="57"/>
      <c r="Q43" s="146"/>
      <c r="R43" s="57"/>
      <c r="S43" s="57"/>
      <c r="T43" s="57"/>
      <c r="V43" s="57"/>
    </row>
    <row r="44" spans="1:22" x14ac:dyDescent="0.25">
      <c r="D44" s="57"/>
      <c r="H44" s="84"/>
      <c r="N44" s="57"/>
      <c r="O44" s="57"/>
      <c r="Q44" s="146"/>
      <c r="R44" s="57"/>
      <c r="S44" s="57"/>
      <c r="T44" s="57"/>
      <c r="V44" s="57"/>
    </row>
    <row r="45" spans="1:22" x14ac:dyDescent="0.25">
      <c r="D45" s="57"/>
      <c r="H45" s="84"/>
      <c r="N45" s="57"/>
      <c r="O45" s="57"/>
      <c r="Q45" s="146"/>
      <c r="R45" s="57"/>
      <c r="S45" s="57"/>
      <c r="T45" s="57"/>
      <c r="V45" s="57"/>
    </row>
    <row r="46" spans="1:22" x14ac:dyDescent="0.25">
      <c r="D46" s="57"/>
      <c r="H46" s="84"/>
      <c r="N46" s="57"/>
      <c r="O46" s="57"/>
      <c r="Q46" s="146"/>
      <c r="R46" s="57"/>
      <c r="S46" s="57"/>
      <c r="T46" s="57"/>
      <c r="V46" s="57"/>
    </row>
    <row r="47" spans="1:22" x14ac:dyDescent="0.25">
      <c r="D47" s="57"/>
      <c r="H47" s="84"/>
      <c r="N47" s="57"/>
      <c r="O47" s="57"/>
      <c r="Q47" s="146"/>
      <c r="R47" s="57"/>
      <c r="S47" s="57"/>
      <c r="T47" s="57"/>
      <c r="V47" s="57"/>
    </row>
    <row r="48" spans="1:22" x14ac:dyDescent="0.25">
      <c r="D48" s="57"/>
      <c r="H48" s="84"/>
      <c r="N48" s="57"/>
      <c r="O48" s="57"/>
      <c r="Q48" s="146"/>
      <c r="R48" s="57"/>
      <c r="S48" s="57"/>
      <c r="T48" s="57"/>
      <c r="V48" s="57"/>
    </row>
    <row r="49" spans="4:22" x14ac:dyDescent="0.25">
      <c r="D49" s="57"/>
      <c r="H49" s="84"/>
      <c r="N49" s="57"/>
      <c r="O49" s="57"/>
      <c r="Q49" s="146"/>
      <c r="R49" s="57"/>
      <c r="S49" s="57"/>
      <c r="T49" s="57"/>
      <c r="V49" s="57"/>
    </row>
    <row r="50" spans="4:22" x14ac:dyDescent="0.25">
      <c r="D50" s="57"/>
      <c r="H50" s="84"/>
      <c r="N50" s="57"/>
      <c r="O50" s="57"/>
      <c r="Q50" s="146"/>
      <c r="R50" s="57"/>
      <c r="S50" s="57"/>
      <c r="T50" s="57"/>
      <c r="V50" s="57"/>
    </row>
    <row r="51" spans="4:22" x14ac:dyDescent="0.25">
      <c r="D51" s="57"/>
      <c r="H51" s="84"/>
      <c r="N51" s="57"/>
      <c r="O51" s="57"/>
      <c r="Q51" s="146"/>
      <c r="R51" s="57"/>
      <c r="S51" s="57"/>
      <c r="T51" s="57"/>
      <c r="V51" s="57"/>
    </row>
    <row r="52" spans="4:22" x14ac:dyDescent="0.25">
      <c r="D52" s="57"/>
      <c r="H52" s="84"/>
      <c r="N52" s="57"/>
      <c r="O52" s="57"/>
      <c r="Q52" s="146"/>
      <c r="R52" s="57"/>
      <c r="S52" s="57"/>
      <c r="T52" s="57"/>
      <c r="V52" s="57"/>
    </row>
    <row r="53" spans="4:22" x14ac:dyDescent="0.25">
      <c r="D53" s="57"/>
      <c r="H53" s="84"/>
      <c r="N53" s="57"/>
      <c r="O53" s="57"/>
      <c r="Q53" s="146"/>
      <c r="R53" s="57"/>
      <c r="S53" s="57"/>
      <c r="T53" s="57"/>
      <c r="V53" s="57"/>
    </row>
    <row r="54" spans="4:22" x14ac:dyDescent="0.25">
      <c r="D54" s="57"/>
      <c r="H54" s="84"/>
    </row>
    <row r="55" spans="4:22" x14ac:dyDescent="0.25">
      <c r="D55" s="57"/>
      <c r="H55" s="84"/>
    </row>
    <row r="56" spans="4:22" x14ac:dyDescent="0.25">
      <c r="D56" s="57"/>
    </row>
    <row r="57" spans="4:22" x14ac:dyDescent="0.25">
      <c r="D57" s="57"/>
    </row>
  </sheetData>
  <dataValidations count="1">
    <dataValidation type="list" allowBlank="1" showInputMessage="1" showErrorMessage="1" sqref="B1 B4" xr:uid="{5B479787-21FF-438B-925B-8063845F9B13}">
      <formula1>"On,Off"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505B-CDFB-4C77-9E91-4D19E1CB2D1B}">
  <dimension ref="A1:U193"/>
  <sheetViews>
    <sheetView topLeftCell="B1" workbookViewId="0">
      <selection activeCell="F38" sqref="F38"/>
    </sheetView>
  </sheetViews>
  <sheetFormatPr defaultRowHeight="15" x14ac:dyDescent="0.25"/>
  <cols>
    <col min="2" max="3" width="11.42578125" bestFit="1" customWidth="1"/>
    <col min="4" max="4" width="10.7109375" bestFit="1" customWidth="1"/>
    <col min="5" max="5" width="11.5703125" bestFit="1" customWidth="1"/>
    <col min="6" max="7" width="10.7109375" bestFit="1" customWidth="1"/>
    <col min="8" max="9" width="10.5703125" bestFit="1" customWidth="1"/>
    <col min="10" max="10" width="10.5703125" customWidth="1"/>
    <col min="11" max="11" width="9.7109375" customWidth="1"/>
    <col min="12" max="12" width="11.42578125" style="57" customWidth="1"/>
    <col min="14" max="14" width="15.28515625" bestFit="1" customWidth="1"/>
    <col min="15" max="15" width="12.85546875" bestFit="1" customWidth="1"/>
    <col min="17" max="17" width="14.7109375" bestFit="1" customWidth="1"/>
    <col min="18" max="18" width="13.7109375" bestFit="1" customWidth="1"/>
    <col min="19" max="19" width="12.42578125" bestFit="1" customWidth="1"/>
    <col min="21" max="21" width="10.5703125" bestFit="1" customWidth="1"/>
  </cols>
  <sheetData>
    <row r="1" spans="1:19" x14ac:dyDescent="0.25">
      <c r="B1" s="1">
        <f ca="1">_xll.QDates_SpotDate(ValDate,"2b","LON","ZAR")</f>
        <v>43487</v>
      </c>
      <c r="C1" s="117" t="s">
        <v>109</v>
      </c>
      <c r="D1" s="117" t="s">
        <v>82</v>
      </c>
      <c r="E1" s="117" t="s">
        <v>108</v>
      </c>
      <c r="F1" s="117" t="s">
        <v>109</v>
      </c>
      <c r="G1" s="117" t="s">
        <v>82</v>
      </c>
      <c r="H1" s="117" t="s">
        <v>108</v>
      </c>
      <c r="I1" s="117" t="s">
        <v>116</v>
      </c>
      <c r="J1" s="117" t="s">
        <v>122</v>
      </c>
      <c r="K1" s="117" t="s">
        <v>123</v>
      </c>
      <c r="L1" s="117" t="s">
        <v>124</v>
      </c>
      <c r="M1" s="121" t="s">
        <v>128</v>
      </c>
      <c r="N1" t="s">
        <v>115</v>
      </c>
      <c r="O1" s="99">
        <f>MetalCurves!AQ12</f>
        <v>-0.3</v>
      </c>
    </row>
    <row r="2" spans="1:19" x14ac:dyDescent="0.25">
      <c r="A2" s="117" t="s">
        <v>14</v>
      </c>
      <c r="B2" s="1">
        <f ca="1">_xll.QDates_AddPeriod($B$1,A2,"MF","USD+GBP")</f>
        <v>43518</v>
      </c>
      <c r="C2" s="84">
        <f ca="1">_xll.QCurves_GetPrice(MetalCurves!$V$2,CompoVolSolver!B2)</f>
        <v>1291.4120050222223</v>
      </c>
      <c r="D2" s="84">
        <f ca="1">_xll.QCurves_GetForwardFxRate(FundingFx!$B$27,B2,"USD/ZAR")</f>
        <v>13.815300000000001</v>
      </c>
      <c r="E2" s="84">
        <f ca="1">D2*C2</f>
        <v>17841.244272983509</v>
      </c>
      <c r="F2" s="11">
        <f ca="1">_xll.QVol_GetVolForDeltaStrike(MetalCurves!$AH$3,0.5,B2,C2)</f>
        <v>8.9075688165862615E-2</v>
      </c>
      <c r="G2" s="11">
        <f ca="1">_xll.QVol_GetVolForDeltaStrike(FundingFx!$O$2,0.5,B2,D2)</f>
        <v>0.15421045388462293</v>
      </c>
      <c r="H2" s="11">
        <f ca="1">SQRT(G2^2+F2^2-2*$O$1*G2*F2)</f>
        <v>0.19989293056736424</v>
      </c>
      <c r="I2" s="84">
        <f t="shared" ref="I2:I8" ca="1" si="0">(K2-ValDate)/365</f>
        <v>9.0410958904109592E-2</v>
      </c>
      <c r="J2" s="11">
        <f ca="1">_xll.QCurves_GetForwardRate(FundingFx!$A$29,ValDate,B2,"CC","Act365F")</f>
        <v>1.6734548407168488E-2</v>
      </c>
      <c r="K2" s="1">
        <f ca="1">_xll.QDates_SubtractPeriod(B2,"2b","P","ZAR+USD")</f>
        <v>43516</v>
      </c>
      <c r="L2" s="84" t="e">
        <f ca="1">VLOOKUP(A2&amp;"ZSC",$T$17:$U$193,2,FALSE)/M2</f>
        <v>#N/A</v>
      </c>
      <c r="M2" s="11">
        <f ca="1">_xll.QCurves_GetDF(FundingFx!$A$29,ValDate,B2)</f>
        <v>0.99839660409094533</v>
      </c>
    </row>
    <row r="3" spans="1:19" x14ac:dyDescent="0.25">
      <c r="A3" s="117" t="s">
        <v>15</v>
      </c>
      <c r="B3" s="1">
        <f ca="1">_xll.QDates_AddPeriod($B$1,A3,"MF","USD+GBP")</f>
        <v>43546</v>
      </c>
      <c r="C3" s="84">
        <f ca="1">_xll.QCurves_GetPrice(MetalCurves!$V$2,CompoVolSolver!B3)</f>
        <v>1293.939926388889</v>
      </c>
      <c r="D3" s="84">
        <f ca="1">_xll.QCurves_GetForwardFxRate(FundingFx!$B$27,B3,"USD/ZAR")</f>
        <v>13.8611</v>
      </c>
      <c r="E3" s="84">
        <f t="shared" ref="E3:E8" ca="1" si="1">D3*C3</f>
        <v>17935.43071366903</v>
      </c>
      <c r="F3" s="11">
        <f ca="1">_xll.QVol_GetVolForDeltaStrike(MetalCurves!$AH$3,0.5,B3,C3)</f>
        <v>9.4522323698791863E-2</v>
      </c>
      <c r="G3" s="11">
        <f ca="1">_xll.QVol_GetVolForDeltaStrike(FundingFx!$O$2,0.5,B3,D3)</f>
        <v>0.1579231756660259</v>
      </c>
      <c r="H3" s="11">
        <f t="shared" ref="H3:H8" ca="1" si="2">SQRT(G3^2+F3^2-2*$O$1*G3*F3)</f>
        <v>0.20695545029732565</v>
      </c>
      <c r="I3" s="84">
        <f t="shared" ca="1" si="0"/>
        <v>0.16438356164383561</v>
      </c>
      <c r="J3" s="11">
        <f ca="1">_xll.QCurves_GetForwardRate(FundingFx!$A$29,ValDate,B3,"CC","Act365F")</f>
        <v>4.0910661599016948E-2</v>
      </c>
      <c r="K3" s="1">
        <f ca="1">_xll.QDates_SubtractPeriod(B3,"2b","P","ZAR+USD")</f>
        <v>43543</v>
      </c>
      <c r="L3" s="84" t="e">
        <f t="shared" ref="L3:L8" ca="1" si="3">VLOOKUP(A3&amp;"ZSC",$T$17:$U$193,2,FALSE)/M3</f>
        <v>#N/A</v>
      </c>
      <c r="M3" s="11">
        <f ca="1">_xll.QCurves_GetDF(FundingFx!$A$29,ValDate,B3)</f>
        <v>0.9929635800702401</v>
      </c>
      <c r="N3" s="57" t="s">
        <v>117</v>
      </c>
      <c r="O3" s="2" t="s">
        <v>97</v>
      </c>
      <c r="P3" s="118">
        <f>2^16</f>
        <v>65536</v>
      </c>
    </row>
    <row r="4" spans="1:19" x14ac:dyDescent="0.25">
      <c r="A4" s="117" t="s">
        <v>10</v>
      </c>
      <c r="B4" s="1">
        <f ca="1">_xll.QDates_AddPeriod($B$1,A4,"MF","USD+GBP")</f>
        <v>43578</v>
      </c>
      <c r="C4" s="84">
        <f ca="1">_xll.QCurves_GetPrice(MetalCurves!$V$2,CompoVolSolver!B4)</f>
        <v>1296.9013386611111</v>
      </c>
      <c r="D4" s="84">
        <f ca="1">_xll.QCurves_GetForwardFxRate(FundingFx!$B$27,B4,"USD/ZAR")</f>
        <v>13.914299999999999</v>
      </c>
      <c r="E4" s="84">
        <f t="shared" ca="1" si="1"/>
        <v>18045.474296532298</v>
      </c>
      <c r="F4" s="11">
        <f ca="1">_xll.QVol_GetVolForDeltaStrike(MetalCurves!$AH$3,0.5,B4,C4)</f>
        <v>9.9588211876534993E-2</v>
      </c>
      <c r="G4" s="11">
        <f ca="1">_xll.QVol_GetVolForDeltaStrike(FundingFx!$O$2,0.5,B4,D4)</f>
        <v>0.16184680646752425</v>
      </c>
      <c r="H4" s="11">
        <f t="shared" ca="1" si="2"/>
        <v>0.21396967341405859</v>
      </c>
      <c r="I4" s="84">
        <f t="shared" ca="1" si="0"/>
        <v>0.24383561643835616</v>
      </c>
      <c r="J4" s="11">
        <f ca="1">_xll.QCurves_GetForwardRate(FundingFx!$A$29,ValDate,B4,"CC","Act365F")</f>
        <v>5.112613914268669E-2</v>
      </c>
      <c r="K4" s="1">
        <f ca="1">_xll.QDates_SubtractPeriod(B4,"2b","P","ZAR+USD")</f>
        <v>43572</v>
      </c>
      <c r="L4" s="84" t="e">
        <f t="shared" ca="1" si="3"/>
        <v>#N/A</v>
      </c>
      <c r="M4" s="11">
        <f ca="1">_xll.QCurves_GetDF(FundingFx!$A$29,ValDate,B4)</f>
        <v>0.98678134076379509</v>
      </c>
      <c r="N4" s="57" t="str">
        <f>_xll.QModels_CreateMcSettings(N3,P3,P4,P5,,,P7,P6,,P8)</f>
        <v>VSMSSettings¬0</v>
      </c>
      <c r="O4" s="2" t="s">
        <v>98</v>
      </c>
      <c r="P4" s="118">
        <v>400</v>
      </c>
    </row>
    <row r="5" spans="1:19" x14ac:dyDescent="0.25">
      <c r="A5" s="117" t="s">
        <v>16</v>
      </c>
      <c r="B5" s="1">
        <f ca="1">_xll.QDates_AddPeriod($B$1,A5,"MF","USD+GBP")</f>
        <v>43668</v>
      </c>
      <c r="C5" s="84">
        <f ca="1">_xll.QCurves_GetPrice(MetalCurves!$V$2,CompoVolSolver!B5)</f>
        <v>1305.1169041222222</v>
      </c>
      <c r="D5" s="84">
        <f ca="1">_xll.QCurves_GetForwardFxRate(FundingFx!$B$27,B5,"USD/ZAR")</f>
        <v>14.069400000000003</v>
      </c>
      <c r="E5" s="84">
        <f t="shared" ca="1" si="1"/>
        <v>18362.211770857197</v>
      </c>
      <c r="F5" s="11">
        <f ca="1">_xll.QVol_GetVolForDeltaStrike(MetalCurves!$AH$3,0.5,B5,C5)</f>
        <v>0.10894670010409752</v>
      </c>
      <c r="G5" s="11">
        <f ca="1">_xll.QVol_GetVolForDeltaStrike(FundingFx!$O$2,0.5,B5,D5)</f>
        <v>0.16663594862754016</v>
      </c>
      <c r="H5" s="11">
        <f t="shared" ca="1" si="2"/>
        <v>0.22478786637980314</v>
      </c>
      <c r="I5" s="84">
        <f t="shared" ca="1" si="0"/>
        <v>0.49589041095890413</v>
      </c>
      <c r="J5" s="11">
        <f ca="1">_xll.QCurves_GetForwardRate(FundingFx!$A$29,ValDate,B5,"CC","Act365F")</f>
        <v>6.1317476556597444E-2</v>
      </c>
      <c r="K5" s="1">
        <f ca="1">_xll.QDates_SubtractPeriod(B5,"2b","P","ZAR+USD")</f>
        <v>43664</v>
      </c>
      <c r="L5" s="84" t="e">
        <f t="shared" ca="1" si="3"/>
        <v>#N/A</v>
      </c>
      <c r="M5" s="11">
        <f ca="1">_xll.QCurves_GetDF(FundingFx!$A$29,ValDate,B5)</f>
        <v>0.96939925799866711</v>
      </c>
      <c r="N5" s="57"/>
      <c r="O5" s="2" t="s">
        <v>99</v>
      </c>
      <c r="P5" s="57" t="s">
        <v>100</v>
      </c>
    </row>
    <row r="6" spans="1:19" x14ac:dyDescent="0.25">
      <c r="A6" s="117" t="s">
        <v>17</v>
      </c>
      <c r="B6" s="1">
        <f ca="1">_xll.QDates_AddPeriod($B$1,A6,"MF","USD+GBP")</f>
        <v>43760</v>
      </c>
      <c r="C6" s="84">
        <f ca="1">_xll.QCurves_GetPrice(MetalCurves!$V$2,CompoVolSolver!B6)</f>
        <v>1313.7749095166666</v>
      </c>
      <c r="D6" s="84">
        <f ca="1">_xll.QCurves_GetForwardFxRate(FundingFx!$B$27,B6,"USD/ZAR")</f>
        <v>14.231299999999999</v>
      </c>
      <c r="E6" s="84">
        <f t="shared" ca="1" si="1"/>
        <v>18696.724869804537</v>
      </c>
      <c r="F6" s="11">
        <f ca="1">_xll.QVol_GetVolForDeltaStrike(MetalCurves!$AH$3,0.5,B6,C6)</f>
        <v>0.11622373532280106</v>
      </c>
      <c r="G6" s="11">
        <f ca="1">_xll.QVol_GetVolForDeltaStrike(FundingFx!$O$2,0.5,B6,D6)</f>
        <v>0.16950559568893314</v>
      </c>
      <c r="H6" s="11">
        <f t="shared" ca="1" si="2"/>
        <v>0.23250902717033409</v>
      </c>
      <c r="I6" s="84">
        <f t="shared" ca="1" si="0"/>
        <v>0.74794520547945209</v>
      </c>
      <c r="J6" s="11">
        <f ca="1">_xll.QCurves_GetForwardRate(FundingFx!$A$29,ValDate,B6,"CC","Act365F")</f>
        <v>6.5180284604037061E-2</v>
      </c>
      <c r="K6" s="1">
        <f ca="1">_xll.QDates_SubtractPeriod(B6,"2b","P","ZAR+USD")</f>
        <v>43756</v>
      </c>
      <c r="L6" s="84" t="e">
        <f t="shared" ca="1" si="3"/>
        <v>#N/A</v>
      </c>
      <c r="M6" s="11">
        <f ca="1">_xll.QCurves_GetDF(FundingFx!$A$29,ValDate,B6)</f>
        <v>0.95173791082392678</v>
      </c>
      <c r="N6" s="57"/>
      <c r="O6" s="2" t="s">
        <v>103</v>
      </c>
      <c r="P6" s="57" t="b">
        <v>1</v>
      </c>
    </row>
    <row r="7" spans="1:19" x14ac:dyDescent="0.25">
      <c r="A7" s="117" t="s">
        <v>48</v>
      </c>
      <c r="B7" s="1">
        <f ca="1">_xll.QDates_AddPeriod($B$1,A7,"MF","USD+GBP")</f>
        <v>43852</v>
      </c>
      <c r="C7" s="84">
        <f ca="1">_xll.QCurves_GetPrice(MetalCurves!$V$2,CompoVolSolver!B7)</f>
        <v>1322.3691978333334</v>
      </c>
      <c r="D7" s="84">
        <f ca="1">_xll.QCurves_GetForwardFxRate(FundingFx!$B$27,B7,"USD/ZAR")</f>
        <v>14.396500000000001</v>
      </c>
      <c r="E7" s="84">
        <f t="shared" ca="1" si="1"/>
        <v>19037.488156607586</v>
      </c>
      <c r="F7" s="11">
        <f ca="1">_xll.QVol_GetVolForDeltaStrike(MetalCurves!$AH$3,0.5,B7,C7)</f>
        <v>0.1208091927159128</v>
      </c>
      <c r="G7" s="11">
        <f ca="1">_xll.QVol_GetVolForDeltaStrike(FundingFx!$O$2,0.5,B7,D7)</f>
        <v>0.17256162494639549</v>
      </c>
      <c r="H7" s="11">
        <f t="shared" ca="1" si="2"/>
        <v>0.23849652788022535</v>
      </c>
      <c r="I7" s="84">
        <f t="shared" ca="1" si="0"/>
        <v>0.99726027397260275</v>
      </c>
      <c r="J7" s="11">
        <f ca="1">_xll.QCurves_GetForwardRate(FundingFx!$A$29,ValDate,B7,"CC","Act365F")</f>
        <v>6.7248039984023192E-2</v>
      </c>
      <c r="K7" s="1">
        <f ca="1">_xll.QDates_SubtractPeriod(B7,"2b","P","ZAR+USD")</f>
        <v>43847</v>
      </c>
      <c r="L7" s="84" t="e">
        <f t="shared" ca="1" si="3"/>
        <v>#N/A</v>
      </c>
      <c r="M7" s="11">
        <f ca="1">_xll.QCurves_GetDF(FundingFx!$A$29,ValDate,B7)</f>
        <v>0.93427448309951755</v>
      </c>
      <c r="N7" s="57"/>
      <c r="O7" s="2" t="s">
        <v>95</v>
      </c>
      <c r="P7" s="57" t="s">
        <v>25</v>
      </c>
    </row>
    <row r="8" spans="1:19" x14ac:dyDescent="0.25">
      <c r="A8" s="117" t="s">
        <v>18</v>
      </c>
      <c r="B8" s="1">
        <f ca="1">_xll.QDates_AddPeriod($B$1,A8,"MF","USD+GBP")</f>
        <v>44034</v>
      </c>
      <c r="C8" s="84">
        <f ca="1">_xll.QCurves_GetPrice(MetalCurves!$V$2,CompoVolSolver!B8)</f>
        <v>1338.5934154969036</v>
      </c>
      <c r="D8" s="84">
        <f ca="1">_xll.QCurves_GetForwardFxRate(FundingFx!$B$27,B8,"USD/ZAR")</f>
        <v>14.734300000000001</v>
      </c>
      <c r="E8" s="84">
        <f t="shared" ca="1" si="1"/>
        <v>19723.236961956027</v>
      </c>
      <c r="F8" s="11">
        <f ca="1">_xll.QVol_GetVolForDeltaStrike(MetalCurves!$AH$3,0.5,B8,C8)</f>
        <v>0.12780897183061649</v>
      </c>
      <c r="G8" s="11">
        <f ca="1">_xll.QVol_GetVolForDeltaStrike(FundingFx!$O$2,0.5,B8,D8)</f>
        <v>0.17695199862498712</v>
      </c>
      <c r="H8" s="11">
        <f t="shared" ca="1" si="2"/>
        <v>0.24742023947598976</v>
      </c>
      <c r="I8" s="84">
        <f t="shared" ca="1" si="0"/>
        <v>1.5041095890410958</v>
      </c>
      <c r="J8" s="11">
        <f ca="1">_xll.QCurves_GetForwardRate(FundingFx!$A$29,ValDate,B8,"CC","Act365F")</f>
        <v>6.943377435024016E-2</v>
      </c>
      <c r="K8" s="1">
        <f ca="1">_xll.QDates_SubtractPeriod(B8,"2b","P","ZAR+USD")</f>
        <v>44032</v>
      </c>
      <c r="L8" s="84" t="e">
        <f t="shared" ca="1" si="3"/>
        <v>#N/A</v>
      </c>
      <c r="M8" s="11">
        <f ca="1">_xll.QCurves_GetDF(FundingFx!$A$29,ValDate,B8)</f>
        <v>0.90048977895534044</v>
      </c>
      <c r="N8" s="57"/>
      <c r="O8" s="2" t="s">
        <v>105</v>
      </c>
      <c r="P8" s="57" t="b">
        <v>1</v>
      </c>
    </row>
    <row r="9" spans="1:19" x14ac:dyDescent="0.25">
      <c r="A9" s="117"/>
    </row>
    <row r="10" spans="1:19" x14ac:dyDescent="0.25">
      <c r="A10" s="117"/>
      <c r="L10" s="125"/>
      <c r="O10" t="str">
        <f ca="1">_xll.QIns_CreatePortfolio("VanillaGrid",A20:J26)</f>
        <v>VanillaGrid¬1</v>
      </c>
    </row>
    <row r="11" spans="1:19" x14ac:dyDescent="0.25">
      <c r="A11" s="117"/>
      <c r="B11" s="92">
        <v>0.05</v>
      </c>
      <c r="C11" s="92">
        <v>0.1</v>
      </c>
      <c r="D11" s="92">
        <v>0.15</v>
      </c>
      <c r="E11" s="92">
        <v>0.25</v>
      </c>
      <c r="F11" s="92">
        <v>0.5</v>
      </c>
      <c r="G11" s="92">
        <v>0.75</v>
      </c>
      <c r="H11" s="92">
        <v>0.9</v>
      </c>
      <c r="I11" s="92">
        <v>0.99</v>
      </c>
      <c r="J11" s="120">
        <v>0.99990000000000001</v>
      </c>
      <c r="L11" s="125"/>
    </row>
    <row r="12" spans="1:19" x14ac:dyDescent="0.25">
      <c r="A12" s="117" t="s">
        <v>14</v>
      </c>
      <c r="B12" s="84">
        <f ca="1">_xll.QOpt_AbsoluteStrikeFromDelta($I2,-B$11,$E2,$H2,0)</f>
        <v>16191.004751356744</v>
      </c>
      <c r="C12" s="84">
        <f ca="1">_xll.QOpt_AbsoluteStrikeFromDelta($I2,-C$11,$E2,$H2,0)</f>
        <v>16548.442092232148</v>
      </c>
      <c r="D12" s="84">
        <f ca="1">_xll.QOpt_AbsoluteStrikeFromDelta($I2,-D$11,$E2,$H2,0)</f>
        <v>16794.050768813308</v>
      </c>
      <c r="E12" s="84">
        <f ca="1">_xll.QOpt_AbsoluteStrikeFromDelta($I2,-E$11,$E2,$H2,0)</f>
        <v>17163.399724052582</v>
      </c>
      <c r="F12" s="84">
        <f ca="1">_xll.QOpt_AbsoluteStrikeFromDelta($I2,-F$11,$E2,$H2,0)</f>
        <v>17873.499743237709</v>
      </c>
      <c r="G12" s="84">
        <f ca="1">_xll.QOpt_AbsoluteStrikeFromDelta($I2,-G$11,$E2,$H2,0)</f>
        <v>18612.978676003699</v>
      </c>
      <c r="H12" s="84">
        <f ca="1">_xll.QOpt_AbsoluteStrikeFromDelta($I2,-H$11,$E2,$H2,0)</f>
        <v>19304.656673480717</v>
      </c>
      <c r="I12" s="84">
        <f ca="1">_xll.QOpt_AbsoluteStrikeFromDelta($I2,-I$11,$E2,$H2,0)</f>
        <v>20555.806324760211</v>
      </c>
      <c r="J12" s="84">
        <f ca="1">_xll.QOpt_AbsoluteStrikeFromDelta($I2,-J$11,$E2,$H2,0)</f>
        <v>22350.513305507942</v>
      </c>
      <c r="L12" s="125"/>
      <c r="O12" t="s">
        <v>118</v>
      </c>
      <c r="P12" s="82" t="s">
        <v>102</v>
      </c>
    </row>
    <row r="13" spans="1:19" x14ac:dyDescent="0.25">
      <c r="A13" s="117" t="s">
        <v>15</v>
      </c>
      <c r="B13" s="84">
        <f ca="1">_xll.QOpt_AbsoluteStrikeFromDelta($I3,-B$11,$E3,$H3,0)</f>
        <v>15678.356780599515</v>
      </c>
      <c r="C13" s="84">
        <f ca="1">_xll.QOpt_AbsoluteStrikeFromDelta($I3,-C$11,$E3,$H3,0)</f>
        <v>16163.65738122833</v>
      </c>
      <c r="D13" s="84">
        <f ca="1">_xll.QOpt_AbsoluteStrikeFromDelta($I3,-D$11,$E3,$H3,0)</f>
        <v>16499.545811851291</v>
      </c>
      <c r="E13" s="84">
        <f ca="1">_xll.QOpt_AbsoluteStrikeFromDelta($I3,-E$11,$E3,$H3,0)</f>
        <v>17008.326343983903</v>
      </c>
      <c r="F13" s="84">
        <f ca="1">_xll.QOpt_AbsoluteStrikeFromDelta($I3,-F$11,$E3,$H3,0)</f>
        <v>17998.680431070941</v>
      </c>
      <c r="G13" s="84">
        <f ca="1">_xll.QOpt_AbsoluteStrikeFromDelta($I3,-G$11,$E3,$H3,0)</f>
        <v>19046.700463529312</v>
      </c>
      <c r="H13" s="84">
        <f ca="1">_xll.QOpt_AbsoluteStrikeFromDelta($I3,-H$11,$E3,$H3,0)</f>
        <v>20042.029450341997</v>
      </c>
      <c r="I13" s="84">
        <f ca="1">_xll.QOpt_AbsoluteStrikeFromDelta($I3,-I$11,$E3,$H3,0)</f>
        <v>21878.378216489124</v>
      </c>
      <c r="J13" s="84">
        <f ca="1">_xll.QOpt_AbsoluteStrikeFromDelta($I3,-J$11,$E3,$H3,0)</f>
        <v>24590.387515889783</v>
      </c>
      <c r="L13" s="125"/>
      <c r="O13" t="s">
        <v>119</v>
      </c>
      <c r="P13" t="str">
        <f>IF(P12="On",_xll.QModels_McPortfolioPV(O13,O10,MetalCurves!AM21,N4,P7),O13)</f>
        <v>GridPV</v>
      </c>
    </row>
    <row r="14" spans="1:19" x14ac:dyDescent="0.25">
      <c r="A14" s="117" t="s">
        <v>10</v>
      </c>
      <c r="B14" s="84">
        <f ca="1">_xll.QOpt_AbsoluteStrikeFromDelta($I4,-B$11,$E4,$H4,0)</f>
        <v>15251.614701278591</v>
      </c>
      <c r="C14" s="84">
        <f ca="1">_xll.QOpt_AbsoluteStrikeFromDelta($I4,-C$11,$E4,$H4,0)</f>
        <v>15848.438975155701</v>
      </c>
      <c r="D14" s="84">
        <f ca="1">_xll.QOpt_AbsoluteStrikeFromDelta($I4,-D$11,$E4,$H4,0)</f>
        <v>16264.252633221799</v>
      </c>
      <c r="E14" s="84">
        <f ca="1">_xll.QOpt_AbsoluteStrikeFromDelta($I4,-E$11,$E4,$H4,0)</f>
        <v>16898.277783712892</v>
      </c>
      <c r="F14" s="84">
        <f ca="1">_xll.QOpt_AbsoluteStrikeFromDelta($I4,-F$11,$E4,$H4,0)</f>
        <v>18146.481541168763</v>
      </c>
      <c r="G14" s="84">
        <f ca="1">_xll.QOpt_AbsoluteStrikeFromDelta($I4,-G$11,$E4,$H4,0)</f>
        <v>19486.884790198183</v>
      </c>
      <c r="H14" s="84">
        <f ca="1">_xll.QOpt_AbsoluteStrikeFromDelta($I4,-H$11,$E4,$H4,0)</f>
        <v>20777.743021895541</v>
      </c>
      <c r="I14" s="84">
        <f ca="1">_xll.QOpt_AbsoluteStrikeFromDelta($I4,-I$11,$E4,$H4,0)</f>
        <v>23202.802082294904</v>
      </c>
      <c r="J14" s="84">
        <f ca="1">_xll.QOpt_AbsoluteStrikeFromDelta($I4,-J$11,$E4,$H4,0)</f>
        <v>26880.983188887949</v>
      </c>
      <c r="L14" s="125"/>
      <c r="Q14" s="124" t="e">
        <f ca="1">Q15*C7</f>
        <v>#VALUE!</v>
      </c>
    </row>
    <row r="15" spans="1:19" x14ac:dyDescent="0.25">
      <c r="A15" s="117" t="s">
        <v>16</v>
      </c>
      <c r="B15" s="84">
        <f ca="1">_xll.QOpt_AbsoluteStrikeFromDelta($I5,-B$11,$E5,$H5,0)</f>
        <v>14331.389386005312</v>
      </c>
      <c r="C15" s="84">
        <f ca="1">_xll.QOpt_AbsoluteStrikeFromDelta($I5,-C$11,$E5,$H5,0)</f>
        <v>15179.728673221594</v>
      </c>
      <c r="D15" s="84">
        <f ca="1">_xll.QOpt_AbsoluteStrikeFromDelta($I5,-D$11,$E5,$H5,0)</f>
        <v>15780.290862143327</v>
      </c>
      <c r="E15" s="84">
        <f ca="1">_xll.QOpt_AbsoluteStrikeFromDelta($I5,-E$11,$E5,$H5,0)</f>
        <v>16710.803411389774</v>
      </c>
      <c r="F15" s="84">
        <f ca="1">_xll.QOpt_AbsoluteStrikeFromDelta($I5,-F$11,$E5,$H5,0)</f>
        <v>18593.711144996574</v>
      </c>
      <c r="G15" s="84">
        <f ca="1">_xll.QOpt_AbsoluteStrikeFromDelta($I5,-G$11,$E5,$H5,0)</f>
        <v>20688.777531062886</v>
      </c>
      <c r="H15" s="84">
        <f ca="1">_xll.QOpt_AbsoluteStrikeFromDelta($I5,-H$11,$E5,$H5,0)</f>
        <v>22775.512104736208</v>
      </c>
      <c r="I15" s="84">
        <f ca="1">_xll.QOpt_AbsoluteStrikeFromDelta($I5,-I$11,$E5,$H5,0)</f>
        <v>26871.638445601675</v>
      </c>
      <c r="J15" s="84">
        <f ca="1">_xll.QOpt_AbsoluteStrikeFromDelta($I5,-J$11,$E5,$H5,0)</f>
        <v>33499.252518877191</v>
      </c>
      <c r="L15" s="125"/>
      <c r="Q15" s="124" t="e">
        <f ca="1">Q24/M7</f>
        <v>#VALUE!</v>
      </c>
      <c r="R15" s="123" t="e">
        <f ca="1">1/Q15</f>
        <v>#VALUE!</v>
      </c>
      <c r="S15" s="123"/>
    </row>
    <row r="16" spans="1:19" x14ac:dyDescent="0.25">
      <c r="A16" s="117" t="s">
        <v>17</v>
      </c>
      <c r="B16" s="84">
        <f ca="1">_xll.QOpt_AbsoluteStrikeFromDelta($I6,-B$11,$E6,$H6,0)</f>
        <v>13705.728498465349</v>
      </c>
      <c r="C16" s="84">
        <f ca="1">_xll.QOpt_AbsoluteStrikeFromDelta($I6,-C$11,$E6,$H6,0)</f>
        <v>14744.463314802975</v>
      </c>
      <c r="D16" s="84">
        <f ca="1">_xll.QOpt_AbsoluteStrikeFromDelta($I6,-D$11,$E6,$H6,0)</f>
        <v>15489.411613080056</v>
      </c>
      <c r="E16" s="84">
        <f ca="1">_xll.QOpt_AbsoluteStrikeFromDelta($I6,-E$11,$E6,$H6,0)</f>
        <v>16658.777811350363</v>
      </c>
      <c r="F16" s="84">
        <f ca="1">_xll.QOpt_AbsoluteStrikeFromDelta($I6,-F$11,$E6,$H6,0)</f>
        <v>19078.565775712108</v>
      </c>
      <c r="G16" s="84">
        <f ca="1">_xll.QOpt_AbsoluteStrikeFromDelta($I6,-G$11,$E6,$H6,0)</f>
        <v>21849.842538278514</v>
      </c>
      <c r="H16" s="84">
        <f ca="1">_xll.QOpt_AbsoluteStrikeFromDelta($I6,-H$11,$E6,$H6,0)</f>
        <v>24686.668092743479</v>
      </c>
      <c r="I16" s="84">
        <f ca="1">_xll.QOpt_AbsoluteStrikeFromDelta($I6,-I$11,$E6,$H6,0)</f>
        <v>30458.156035192867</v>
      </c>
      <c r="J16" s="84">
        <f ca="1">_xll.QOpt_AbsoluteStrikeFromDelta($I6,-J$11,$E6,$H6,0)</f>
        <v>40301.769431450746</v>
      </c>
      <c r="L16" s="125"/>
      <c r="O16" t="str">
        <f t="array" ref="O16:Q193">_xll.QCube_DisplayCube(P13)</f>
        <v>Could not find cube GridPV</v>
      </c>
      <c r="P16" t="str">
        <v>Could not find cube GridPV</v>
      </c>
      <c r="Q16" t="str">
        <v>Could not find cube GridPV</v>
      </c>
    </row>
    <row r="17" spans="1:21" x14ac:dyDescent="0.25">
      <c r="A17" s="117" t="s">
        <v>48</v>
      </c>
      <c r="B17" s="84">
        <f ca="1">_xll.QOpt_AbsoluteStrikeFromDelta($I7,-B$11,$E7,$H7,0)</f>
        <v>13237.031920783165</v>
      </c>
      <c r="C17" s="84">
        <f ca="1">_xll.QOpt_AbsoluteStrikeFromDelta($I7,-C$11,$E7,$H7,0)</f>
        <v>14433.412848868562</v>
      </c>
      <c r="D17" s="84">
        <f ca="1">_xll.QOpt_AbsoluteStrikeFromDelta($I7,-D$11,$E7,$H7,0)</f>
        <v>15301.112719259434</v>
      </c>
      <c r="E17" s="84">
        <f ca="1">_xll.QOpt_AbsoluteStrikeFromDelta($I7,-E$11,$E7,$H7,0)</f>
        <v>16678.65107624864</v>
      </c>
      <c r="F17" s="84">
        <f ca="1">_xll.QOpt_AbsoluteStrikeFromDelta($I7,-F$11,$E7,$H7,0)</f>
        <v>19585.166615758102</v>
      </c>
      <c r="G17" s="84">
        <f ca="1">_xll.QOpt_AbsoluteStrikeFromDelta($I7,-G$11,$E7,$H7,0)</f>
        <v>22998.187899814267</v>
      </c>
      <c r="H17" s="84">
        <f ca="1">_xll.QOpt_AbsoluteStrikeFromDelta($I7,-H$11,$E7,$H7,0)</f>
        <v>26575.748603842821</v>
      </c>
      <c r="I17" s="84">
        <f ca="1">_xll.QOpt_AbsoluteStrikeFromDelta($I7,-I$11,$E7,$H7,0)</f>
        <v>34084.332057411237</v>
      </c>
      <c r="J17" s="84">
        <f ca="1">_xll.QOpt_AbsoluteStrikeFromDelta($I7,-J$11,$E7,$H7,0)</f>
        <v>47490.473313488641</v>
      </c>
      <c r="O17" t="str">
        <v>Could not find cube GridPV</v>
      </c>
      <c r="P17" t="str">
        <v>Could not find cube GridPV</v>
      </c>
      <c r="Q17" s="84" t="str">
        <v>Could not find cube GridPV</v>
      </c>
      <c r="R17" t="e">
        <f>LEFT(O17,FIND("~",O17)-1)</f>
        <v>#VALUE!</v>
      </c>
      <c r="S17" t="e">
        <f>MID(O17,FIND("~",O17)+1,10)</f>
        <v>#VALUE!</v>
      </c>
      <c r="T17" t="e">
        <f>R17&amp;S17</f>
        <v>#VALUE!</v>
      </c>
      <c r="U17" s="84" t="str">
        <f>Q17</f>
        <v>Could not find cube GridPV</v>
      </c>
    </row>
    <row r="18" spans="1:21" x14ac:dyDescent="0.25">
      <c r="A18" s="117" t="s">
        <v>18</v>
      </c>
      <c r="B18" s="84">
        <f ca="1">_xll.QOpt_AbsoluteStrikeFromDelta($I8,-B$11,$E8,$H8,0)</f>
        <v>12537.435575684958</v>
      </c>
      <c r="C18" s="84">
        <f ca="1">_xll.QOpt_AbsoluteStrikeFromDelta($I8,-C$11,$E8,$H8,0)</f>
        <v>13998.63652429498</v>
      </c>
      <c r="D18" s="84">
        <f ca="1">_xll.QOpt_AbsoluteStrikeFromDelta($I8,-D$11,$E8,$H8,0)</f>
        <v>15079.541512446089</v>
      </c>
      <c r="E18" s="84">
        <f ca="1">_xll.QOpt_AbsoluteStrikeFromDelta($I8,-E$11,$E8,$H8,0)</f>
        <v>16830.078556006822</v>
      </c>
      <c r="F18" s="84">
        <f ca="1">_xll.QOpt_AbsoluteStrikeFromDelta($I8,-F$11,$E8,$H8,0)</f>
        <v>20652.489125711487</v>
      </c>
      <c r="G18" s="84">
        <f ca="1">_xll.QOpt_AbsoluteStrikeFromDelta($I8,-G$11,$E8,$H8,0)</f>
        <v>25343.037209734244</v>
      </c>
      <c r="H18" s="84">
        <f ca="1">_xll.QOpt_AbsoluteStrikeFromDelta($I8,-H$11,$E8,$H8,0)</f>
        <v>30469.060779411335</v>
      </c>
      <c r="I18" s="84">
        <f ca="1">_xll.QOpt_AbsoluteStrikeFromDelta($I8,-I$11,$E8,$H8,0)</f>
        <v>41835.54416935418</v>
      </c>
      <c r="J18" s="84">
        <f ca="1">_xll.QOpt_AbsoluteStrikeFromDelta($I8,-J$11,$E8,$H8,0)</f>
        <v>63837.433889075946</v>
      </c>
      <c r="O18" t="str">
        <v>Could not find cube GridPV</v>
      </c>
      <c r="P18" t="str">
        <v>Could not find cube GridPV</v>
      </c>
      <c r="Q18" s="84" t="str">
        <v>Could not find cube GridPV</v>
      </c>
      <c r="R18" s="57" t="e">
        <f t="shared" ref="R18:R81" si="4">LEFT(O18,FIND("~",O18)-1)</f>
        <v>#VALUE!</v>
      </c>
      <c r="S18" s="57" t="e">
        <f t="shared" ref="S18:S81" si="5">MID(O18,FIND("~",O18)+1,10)</f>
        <v>#VALUE!</v>
      </c>
      <c r="T18" s="57" t="e">
        <f t="shared" ref="T18:T81" si="6">R18&amp;S18</f>
        <v>#VALUE!</v>
      </c>
      <c r="U18" s="84" t="str">
        <f t="shared" ref="U18:U81" si="7">Q18</f>
        <v>Could not find cube GridPV</v>
      </c>
    </row>
    <row r="19" spans="1:21" x14ac:dyDescent="0.25">
      <c r="A19" s="117" t="s">
        <v>121</v>
      </c>
      <c r="B19" t="s">
        <v>120</v>
      </c>
      <c r="C19" s="57" t="s">
        <v>120</v>
      </c>
      <c r="D19" s="57" t="s">
        <v>120</v>
      </c>
      <c r="E19" s="57" t="s">
        <v>120</v>
      </c>
      <c r="F19" t="s">
        <v>121</v>
      </c>
      <c r="G19" t="s">
        <v>121</v>
      </c>
      <c r="H19" t="s">
        <v>121</v>
      </c>
      <c r="I19" t="s">
        <v>121</v>
      </c>
      <c r="J19" t="s">
        <v>121</v>
      </c>
      <c r="O19" t="str">
        <v>Could not find cube GridPV</v>
      </c>
      <c r="P19" t="str">
        <v>Could not find cube GridPV</v>
      </c>
      <c r="Q19" s="84" t="str">
        <v>Could not find cube GridPV</v>
      </c>
      <c r="R19" s="57" t="e">
        <f t="shared" si="4"/>
        <v>#VALUE!</v>
      </c>
      <c r="S19" s="57" t="e">
        <f t="shared" si="5"/>
        <v>#VALUE!</v>
      </c>
      <c r="T19" s="57" t="e">
        <f t="shared" si="6"/>
        <v>#VALUE!</v>
      </c>
      <c r="U19" s="84" t="str">
        <f t="shared" si="7"/>
        <v>Could not find cube GridPV</v>
      </c>
    </row>
    <row r="20" spans="1:21" x14ac:dyDescent="0.25">
      <c r="A20" t="str">
        <f ca="1">_xll.QIns_CreateEuropeanOption($A12&amp;"~ZSC",$K2,"XAU","ZAR",0,"C",1,"ZAR","2b","2b",FundingFx!$E$18)</f>
        <v>1m~ZSC¬1</v>
      </c>
      <c r="B20" t="str">
        <f ca="1">_xll.QIns_CreateEuropeanOption($A12&amp;"~"&amp;B$11,$K2,"XAU","ZAR",B12,B$19,1,"ZAR","2b","2b",FundingFx!$E$18)</f>
        <v>1m~0.05¬1</v>
      </c>
      <c r="C20" s="57" t="str">
        <f ca="1">_xll.QIns_CreateEuropeanOption($A12&amp;"~"&amp;C$11,$K2,"XAU","ZAR",C12,C$19,1,"ZAR","2b","2b",FundingFx!$E$18)</f>
        <v>1m~0.1¬1</v>
      </c>
      <c r="D20" s="57" t="str">
        <f ca="1">_xll.QIns_CreateEuropeanOption($A12&amp;"~"&amp;D$11,$K2,"XAU","ZAR",D12,D$19,1,"ZAR","2b","2b",FundingFx!$E$18)</f>
        <v>1m~0.15¬1</v>
      </c>
      <c r="E20" s="57" t="str">
        <f ca="1">_xll.QIns_CreateEuropeanOption($A12&amp;"~"&amp;E$11,$K2,"XAU","ZAR",E12,E$19,1,"ZAR","2b","2b",FundingFx!$E$18)</f>
        <v>1m~0.25¬1</v>
      </c>
      <c r="F20" s="57" t="str">
        <f ca="1">_xll.QIns_CreateEuropeanOption($A12&amp;"~"&amp;F$11,$K2,"XAU","ZAR",F12,F$19,1,"ZAR","2b","2b",FundingFx!$E$18)</f>
        <v>1m~0.5¬1</v>
      </c>
      <c r="G20" s="57" t="str">
        <f ca="1">_xll.QIns_CreateEuropeanOption($A12&amp;"~"&amp;G$11,$K2,"XAU","ZAR",G12,G$19,1,"ZAR","2b","2b",FundingFx!$E$18)</f>
        <v>1m~0.75¬1</v>
      </c>
      <c r="H20" s="57" t="str">
        <f ca="1">_xll.QIns_CreateEuropeanOption($A12&amp;"~"&amp;H$11,$K2,"XAU","ZAR",H12,H$19,1,"ZAR","2b","2b",FundingFx!$E$18)</f>
        <v>1m~0.9¬1</v>
      </c>
      <c r="I20" s="57" t="str">
        <f ca="1">_xll.QIns_CreateEuropeanOption($A12&amp;"~"&amp;I$11,$K2,"XAU","ZAR",I12,I$19,1,"ZAR","2b","2b",FundingFx!$E$18)</f>
        <v>1m~0.99¬1</v>
      </c>
      <c r="J20" s="57" t="str">
        <f ca="1">_xll.QIns_CreateEuropeanOption($A12&amp;"~"&amp;J$11,$K2,"XAU","ZAR",J12,J$19,1,"ZAR","2b","2b",FundingFx!$E$18)</f>
        <v>1m~0.9999¬1</v>
      </c>
      <c r="O20" t="str">
        <v>Could not find cube GridPV</v>
      </c>
      <c r="P20" t="str">
        <v>Could not find cube GridPV</v>
      </c>
      <c r="Q20" s="84" t="str">
        <v>Could not find cube GridPV</v>
      </c>
      <c r="R20" s="57" t="e">
        <f t="shared" si="4"/>
        <v>#VALUE!</v>
      </c>
      <c r="S20" s="57" t="e">
        <f t="shared" si="5"/>
        <v>#VALUE!</v>
      </c>
      <c r="T20" s="57" t="e">
        <f t="shared" si="6"/>
        <v>#VALUE!</v>
      </c>
      <c r="U20" s="84" t="str">
        <f t="shared" si="7"/>
        <v>Could not find cube GridPV</v>
      </c>
    </row>
    <row r="21" spans="1:21" x14ac:dyDescent="0.25">
      <c r="A21" s="57" t="str">
        <f ca="1">_xll.QIns_CreateEuropeanOption($A13&amp;"~ZSC",$K3,"XAU","ZAR",0,"C",1,"ZAR","2b","2b",FundingFx!$E$18)</f>
        <v>2m~ZSC¬1</v>
      </c>
      <c r="B21" s="57" t="str">
        <f ca="1">_xll.QIns_CreateEuropeanOption($A13&amp;"~"&amp;B$11,$K3,"XAU","ZAR",B13,B$19,1,"ZAR","2b","2b",FundingFx!$E$18)</f>
        <v>2m~0.05¬1</v>
      </c>
      <c r="C21" s="57" t="str">
        <f ca="1">_xll.QIns_CreateEuropeanOption($A13&amp;"~"&amp;C$11,$K3,"XAU","ZAR",C13,C$19,1,"ZAR","2b","2b",FundingFx!$E$18)</f>
        <v>2m~0.1¬1</v>
      </c>
      <c r="D21" s="57" t="str">
        <f ca="1">_xll.QIns_CreateEuropeanOption($A13&amp;"~"&amp;D$11,$K3,"XAU","ZAR",D13,D$19,1,"ZAR","2b","2b",FundingFx!$E$18)</f>
        <v>2m~0.15¬1</v>
      </c>
      <c r="E21" s="57" t="str">
        <f ca="1">_xll.QIns_CreateEuropeanOption($A13&amp;"~"&amp;E$11,$K3,"XAU","ZAR",E13,E$19,1,"ZAR","2b","2b",FundingFx!$E$18)</f>
        <v>2m~0.25¬1</v>
      </c>
      <c r="F21" s="57" t="str">
        <f ca="1">_xll.QIns_CreateEuropeanOption($A13&amp;"~"&amp;F$11,$K3,"XAU","ZAR",F13,F$19,1,"ZAR","2b","2b",FundingFx!$E$18)</f>
        <v>2m~0.5¬1</v>
      </c>
      <c r="G21" s="57" t="str">
        <f ca="1">_xll.QIns_CreateEuropeanOption($A13&amp;"~"&amp;G$11,$K3,"XAU","ZAR",G13,G$19,1,"ZAR","2b","2b",FundingFx!$E$18)</f>
        <v>2m~0.75¬1</v>
      </c>
      <c r="H21" s="57" t="str">
        <f ca="1">_xll.QIns_CreateEuropeanOption($A13&amp;"~"&amp;H$11,$K3,"XAU","ZAR",H13,H$19,1,"ZAR","2b","2b",FundingFx!$E$18)</f>
        <v>2m~0.9¬1</v>
      </c>
      <c r="I21" s="57" t="str">
        <f ca="1">_xll.QIns_CreateEuropeanOption($A13&amp;"~"&amp;I$11,$K3,"XAU","ZAR",I13,I$19,1,"ZAR","2b","2b",FundingFx!$E$18)</f>
        <v>2m~0.99¬1</v>
      </c>
      <c r="J21" s="57" t="str">
        <f ca="1">_xll.QIns_CreateEuropeanOption($A13&amp;"~"&amp;J$11,$K3,"XAU","ZAR",J13,J$19,1,"ZAR","2b","2b",FundingFx!$E$18)</f>
        <v>2m~0.9999¬1</v>
      </c>
      <c r="O21" t="str">
        <v>Could not find cube GridPV</v>
      </c>
      <c r="P21" t="str">
        <v>Could not find cube GridPV</v>
      </c>
      <c r="Q21" s="84" t="str">
        <v>Could not find cube GridPV</v>
      </c>
      <c r="R21" s="57" t="e">
        <f t="shared" si="4"/>
        <v>#VALUE!</v>
      </c>
      <c r="S21" s="57" t="e">
        <f t="shared" si="5"/>
        <v>#VALUE!</v>
      </c>
      <c r="T21" s="57" t="e">
        <f t="shared" si="6"/>
        <v>#VALUE!</v>
      </c>
      <c r="U21" s="84" t="str">
        <f t="shared" si="7"/>
        <v>Could not find cube GridPV</v>
      </c>
    </row>
    <row r="22" spans="1:21" x14ac:dyDescent="0.25">
      <c r="A22" s="57" t="str">
        <f ca="1">_xll.QIns_CreateEuropeanOption($A14&amp;"~ZSC",$K4,"XAU","ZAR",0,"C",1,"ZAR","2b","2b",FundingFx!$E$18)</f>
        <v>3m~ZSC¬1</v>
      </c>
      <c r="B22" s="57" t="str">
        <f ca="1">_xll.QIns_CreateEuropeanOption($A14&amp;"~"&amp;B$11,$K4,"XAU","ZAR",B14,B$19,1,"ZAR","2b","2b",FundingFx!$E$18)</f>
        <v>3m~0.05¬1</v>
      </c>
      <c r="C22" s="57" t="str">
        <f ca="1">_xll.QIns_CreateEuropeanOption($A14&amp;"~"&amp;C$11,$K4,"XAU","ZAR",C14,C$19,1,"ZAR","2b","2b",FundingFx!$E$18)</f>
        <v>3m~0.1¬1</v>
      </c>
      <c r="D22" s="57" t="str">
        <f ca="1">_xll.QIns_CreateEuropeanOption($A14&amp;"~"&amp;D$11,$K4,"XAU","ZAR",D14,D$19,1,"ZAR","2b","2b",FundingFx!$E$18)</f>
        <v>3m~0.15¬1</v>
      </c>
      <c r="E22" s="57" t="str">
        <f ca="1">_xll.QIns_CreateEuropeanOption($A14&amp;"~"&amp;E$11,$K4,"XAU","ZAR",E14,E$19,1,"ZAR","2b","2b",FundingFx!$E$18)</f>
        <v>3m~0.25¬1</v>
      </c>
      <c r="F22" s="57" t="str">
        <f ca="1">_xll.QIns_CreateEuropeanOption($A14&amp;"~"&amp;F$11,$K4,"XAU","ZAR",F14,F$19,1,"ZAR","2b","2b",FundingFx!$E$18)</f>
        <v>3m~0.5¬1</v>
      </c>
      <c r="G22" s="57" t="str">
        <f ca="1">_xll.QIns_CreateEuropeanOption($A14&amp;"~"&amp;G$11,$K4,"XAU","ZAR",G14,G$19,1,"ZAR","2b","2b",FundingFx!$E$18)</f>
        <v>3m~0.75¬1</v>
      </c>
      <c r="H22" s="57" t="str">
        <f ca="1">_xll.QIns_CreateEuropeanOption($A14&amp;"~"&amp;H$11,$K4,"XAU","ZAR",H14,H$19,1,"ZAR","2b","2b",FundingFx!$E$18)</f>
        <v>3m~0.9¬1</v>
      </c>
      <c r="I22" s="57" t="str">
        <f ca="1">_xll.QIns_CreateEuropeanOption($A14&amp;"~"&amp;I$11,$K4,"XAU","ZAR",I14,I$19,1,"ZAR","2b","2b",FundingFx!$E$18)</f>
        <v>3m~0.99¬1</v>
      </c>
      <c r="J22" s="57" t="str">
        <f ca="1">_xll.QIns_CreateEuropeanOption($A14&amp;"~"&amp;J$11,$K4,"XAU","ZAR",J14,J$19,1,"ZAR","2b","2b",FundingFx!$E$18)</f>
        <v>3m~0.9999¬1</v>
      </c>
      <c r="O22" t="str">
        <v>Could not find cube GridPV</v>
      </c>
      <c r="P22" t="str">
        <v>Could not find cube GridPV</v>
      </c>
      <c r="Q22" s="84" t="str">
        <v>Could not find cube GridPV</v>
      </c>
      <c r="R22" s="57" t="e">
        <f t="shared" si="4"/>
        <v>#VALUE!</v>
      </c>
      <c r="S22" s="57" t="e">
        <f t="shared" si="5"/>
        <v>#VALUE!</v>
      </c>
      <c r="T22" s="57" t="e">
        <f t="shared" si="6"/>
        <v>#VALUE!</v>
      </c>
      <c r="U22" s="84" t="str">
        <f t="shared" si="7"/>
        <v>Could not find cube GridPV</v>
      </c>
    </row>
    <row r="23" spans="1:21" x14ac:dyDescent="0.25">
      <c r="A23" s="57" t="str">
        <f ca="1">_xll.QIns_CreateEuropeanOption($A15&amp;"~ZSC",$K5,"XAU","ZAR",0,"C",1,"ZAR","2b","2b",FundingFx!$E$18)</f>
        <v>6m~ZSC¬1</v>
      </c>
      <c r="B23" s="57" t="str">
        <f ca="1">_xll.QIns_CreateEuropeanOption($A15&amp;"~"&amp;B$11,$K5,"XAU","ZAR",B15,B$19,1,"ZAR","2b","2b",FundingFx!$E$18)</f>
        <v>6m~0.05¬1</v>
      </c>
      <c r="C23" s="57" t="str">
        <f ca="1">_xll.QIns_CreateEuropeanOption($A15&amp;"~"&amp;C$11,$K5,"XAU","ZAR",C15,C$19,1,"ZAR","2b","2b",FundingFx!$E$18)</f>
        <v>6m~0.1¬1</v>
      </c>
      <c r="D23" s="57" t="str">
        <f ca="1">_xll.QIns_CreateEuropeanOption($A15&amp;"~"&amp;D$11,$K5,"XAU","ZAR",D15,D$19,1,"ZAR","2b","2b",FundingFx!$E$18)</f>
        <v>6m~0.15¬1</v>
      </c>
      <c r="E23" s="57" t="str">
        <f ca="1">_xll.QIns_CreateEuropeanOption($A15&amp;"~"&amp;E$11,$K5,"XAU","ZAR",E15,E$19,1,"ZAR","2b","2b",FundingFx!$E$18)</f>
        <v>6m~0.25¬1</v>
      </c>
      <c r="F23" s="57" t="str">
        <f ca="1">_xll.QIns_CreateEuropeanOption($A15&amp;"~"&amp;F$11,$K5,"XAU","ZAR",F15,F$19,1,"ZAR","2b","2b",FundingFx!$E$18)</f>
        <v>6m~0.5¬1</v>
      </c>
      <c r="G23" s="57" t="str">
        <f ca="1">_xll.QIns_CreateEuropeanOption($A15&amp;"~"&amp;G$11,$K5,"XAU","ZAR",G15,G$19,1,"ZAR","2b","2b",FundingFx!$E$18)</f>
        <v>6m~0.75¬1</v>
      </c>
      <c r="H23" s="57" t="str">
        <f ca="1">_xll.QIns_CreateEuropeanOption($A15&amp;"~"&amp;H$11,$K5,"XAU","ZAR",H15,H$19,1,"ZAR","2b","2b",FundingFx!$E$18)</f>
        <v>6m~0.9¬1</v>
      </c>
      <c r="I23" s="57" t="str">
        <f ca="1">_xll.QIns_CreateEuropeanOption($A15&amp;"~"&amp;I$11,$K5,"XAU","ZAR",I15,I$19,1,"ZAR","2b","2b",FundingFx!$E$18)</f>
        <v>6m~0.99¬1</v>
      </c>
      <c r="J23" s="57" t="str">
        <f ca="1">_xll.QIns_CreateEuropeanOption($A15&amp;"~"&amp;J$11,$K5,"XAU","ZAR",J15,J$19,1,"ZAR","2b","2b",FundingFx!$E$18)</f>
        <v>6m~0.9999¬1</v>
      </c>
      <c r="O23" t="str">
        <v>Could not find cube GridPV</v>
      </c>
      <c r="P23" t="str">
        <v>Could not find cube GridPV</v>
      </c>
      <c r="Q23" s="84" t="str">
        <v>Could not find cube GridPV</v>
      </c>
      <c r="R23" s="57" t="e">
        <f t="shared" si="4"/>
        <v>#VALUE!</v>
      </c>
      <c r="S23" s="57" t="e">
        <f t="shared" si="5"/>
        <v>#VALUE!</v>
      </c>
      <c r="T23" s="57" t="e">
        <f t="shared" si="6"/>
        <v>#VALUE!</v>
      </c>
      <c r="U23" s="84" t="str">
        <f t="shared" si="7"/>
        <v>Could not find cube GridPV</v>
      </c>
    </row>
    <row r="24" spans="1:21" x14ac:dyDescent="0.25">
      <c r="A24" s="57" t="str">
        <f ca="1">_xll.QIns_CreateEuropeanOption($A16&amp;"~ZSC",$K6,"XAU","ZAR",0,"C",1,"ZAR","2b","2b",FundingFx!$E$18)</f>
        <v>9m~ZSC¬1</v>
      </c>
      <c r="B24" s="57" t="str">
        <f ca="1">_xll.QIns_CreateEuropeanOption($A16&amp;"~"&amp;B$11,$K6,"XAU","ZAR",B16,B$19,1,"ZAR","2b","2b",FundingFx!$E$18)</f>
        <v>9m~0.05¬1</v>
      </c>
      <c r="C24" s="57" t="str">
        <f ca="1">_xll.QIns_CreateEuropeanOption($A16&amp;"~"&amp;C$11,$K6,"XAU","ZAR",C16,C$19,1,"ZAR","2b","2b",FundingFx!$E$18)</f>
        <v>9m~0.1¬1</v>
      </c>
      <c r="D24" s="57" t="str">
        <f ca="1">_xll.QIns_CreateEuropeanOption($A16&amp;"~"&amp;D$11,$K6,"XAU","ZAR",D16,D$19,1,"ZAR","2b","2b",FundingFx!$E$18)</f>
        <v>9m~0.15¬1</v>
      </c>
      <c r="E24" s="57" t="str">
        <f ca="1">_xll.QIns_CreateEuropeanOption($A16&amp;"~"&amp;E$11,$K6,"XAU","ZAR",E16,E$19,1,"ZAR","2b","2b",FundingFx!$E$18)</f>
        <v>9m~0.25¬1</v>
      </c>
      <c r="F24" s="57" t="str">
        <f ca="1">_xll.QIns_CreateEuropeanOption($A16&amp;"~"&amp;F$11,$K6,"XAU","ZAR",F16,F$19,1,"ZAR","2b","2b",FundingFx!$E$18)</f>
        <v>9m~0.5¬1</v>
      </c>
      <c r="G24" s="57" t="str">
        <f ca="1">_xll.QIns_CreateEuropeanOption($A16&amp;"~"&amp;G$11,$K6,"XAU","ZAR",G16,G$19,1,"ZAR","2b","2b",FundingFx!$E$18)</f>
        <v>9m~0.75¬1</v>
      </c>
      <c r="H24" s="57" t="str">
        <f ca="1">_xll.QIns_CreateEuropeanOption($A16&amp;"~"&amp;H$11,$K6,"XAU","ZAR",H16,H$19,1,"ZAR","2b","2b",FundingFx!$E$18)</f>
        <v>9m~0.9¬1</v>
      </c>
      <c r="I24" s="57" t="str">
        <f ca="1">_xll.QIns_CreateEuropeanOption($A16&amp;"~"&amp;I$11,$K6,"XAU","ZAR",I16,I$19,1,"ZAR","2b","2b",FundingFx!$E$18)</f>
        <v>9m~0.99¬1</v>
      </c>
      <c r="J24" s="57" t="str">
        <f ca="1">_xll.QIns_CreateEuropeanOption($A16&amp;"~"&amp;J$11,$K6,"XAU","ZAR",J16,J$19,1,"ZAR","2b","2b",FundingFx!$E$18)</f>
        <v>9m~0.9999¬1</v>
      </c>
      <c r="O24" t="str">
        <v>Could not find cube GridPV</v>
      </c>
      <c r="P24" t="str">
        <v>Could not find cube GridPV</v>
      </c>
      <c r="Q24" s="123" t="str">
        <v>Could not find cube GridPV</v>
      </c>
      <c r="R24" s="57" t="e">
        <f t="shared" si="4"/>
        <v>#VALUE!</v>
      </c>
      <c r="S24" s="57" t="e">
        <f t="shared" si="5"/>
        <v>#VALUE!</v>
      </c>
      <c r="T24" s="57" t="e">
        <f t="shared" si="6"/>
        <v>#VALUE!</v>
      </c>
      <c r="U24" s="84" t="str">
        <f t="shared" si="7"/>
        <v>Could not find cube GridPV</v>
      </c>
    </row>
    <row r="25" spans="1:21" x14ac:dyDescent="0.25">
      <c r="A25" s="57" t="str">
        <f ca="1">_xll.QIns_CreateEuropeanOption($A17&amp;"~ZSC",$K7,"XAU","ZAR",0,"C",1,"ZAR","2b","2b",FundingFx!$E$18)</f>
        <v>1y~ZSC¬1</v>
      </c>
      <c r="B25" s="57" t="str">
        <f ca="1">_xll.QIns_CreateEuropeanOption($A17&amp;"~"&amp;B$11,$K7,"XAU","ZAR",B17,B$19,1,"ZAR","2b","2b",FundingFx!$E$18)</f>
        <v>1y~0.05¬1</v>
      </c>
      <c r="C25" s="57" t="str">
        <f ca="1">_xll.QIns_CreateEuropeanOption($A17&amp;"~"&amp;C$11,$K7,"XAU","ZAR",C17,C$19,1,"ZAR","2b","2b",FundingFx!$E$18)</f>
        <v>1y~0.1¬1</v>
      </c>
      <c r="D25" s="57" t="str">
        <f ca="1">_xll.QIns_CreateEuropeanOption($A17&amp;"~"&amp;D$11,$K7,"XAU","ZAR",D17,D$19,1,"ZAR","2b","2b",FundingFx!$E$18)</f>
        <v>1y~0.15¬1</v>
      </c>
      <c r="E25" s="57" t="str">
        <f ca="1">_xll.QIns_CreateEuropeanOption($A17&amp;"~"&amp;E$11,$K7,"XAU","ZAR",E17,E$19,1,"ZAR","2b","2b",FundingFx!$E$18)</f>
        <v>1y~0.25¬1</v>
      </c>
      <c r="F25" s="57" t="str">
        <f ca="1">_xll.QIns_CreateEuropeanOption($A17&amp;"~"&amp;F$11,$K7,"XAU","ZAR",F17,F$19,1,"ZAR","2b","2b",FundingFx!$E$18)</f>
        <v>1y~0.5¬1</v>
      </c>
      <c r="G25" s="57" t="str">
        <f ca="1">_xll.QIns_CreateEuropeanOption($A17&amp;"~"&amp;G$11,$K7,"XAU","ZAR",G17,G$19,1,"ZAR","2b","2b",FundingFx!$E$18)</f>
        <v>1y~0.75¬1</v>
      </c>
      <c r="H25" s="57" t="str">
        <f ca="1">_xll.QIns_CreateEuropeanOption($A17&amp;"~"&amp;H$11,$K7,"XAU","ZAR",H17,H$19,1,"ZAR","2b","2b",FundingFx!$E$18)</f>
        <v>1y~0.9¬1</v>
      </c>
      <c r="I25" s="57" t="str">
        <f ca="1">_xll.QIns_CreateEuropeanOption($A17&amp;"~"&amp;I$11,$K7,"XAU","ZAR",I17,I$19,1,"ZAR","2b","2b",FundingFx!$E$18)</f>
        <v>1y~0.99¬1</v>
      </c>
      <c r="J25" s="57" t="str">
        <f ca="1">_xll.QIns_CreateEuropeanOption($A17&amp;"~"&amp;J$11,$K7,"XAU","ZAR",J17,J$19,1,"ZAR","2b","2b",FundingFx!$E$18)</f>
        <v>1y~0.9999¬1</v>
      </c>
      <c r="O25" t="str">
        <v>Could not find cube GridPV</v>
      </c>
      <c r="P25" t="str">
        <v>Could not find cube GridPV</v>
      </c>
      <c r="Q25" s="84" t="str">
        <v>Could not find cube GridPV</v>
      </c>
      <c r="R25" s="57" t="e">
        <f t="shared" si="4"/>
        <v>#VALUE!</v>
      </c>
      <c r="S25" s="57" t="e">
        <f t="shared" si="5"/>
        <v>#VALUE!</v>
      </c>
      <c r="T25" s="57" t="e">
        <f t="shared" si="6"/>
        <v>#VALUE!</v>
      </c>
      <c r="U25" s="84" t="str">
        <f t="shared" si="7"/>
        <v>Could not find cube GridPV</v>
      </c>
    </row>
    <row r="26" spans="1:21" x14ac:dyDescent="0.25">
      <c r="A26" s="57" t="str">
        <f ca="1">_xll.QIns_CreateEuropeanOption($A18&amp;"~ZSC",$K8,"XAU","ZAR",0,"C",1,"ZAR","2b","2b",FundingFx!$E$18)</f>
        <v>18m~ZSC¬1</v>
      </c>
      <c r="B26" s="57" t="str">
        <f ca="1">_xll.QIns_CreateEuropeanOption($A18&amp;"~"&amp;B$11,$K8,"XAU","ZAR",B18,B$19,1,"ZAR","2b","2b",FundingFx!$E$18)</f>
        <v>18m~0.05¬1</v>
      </c>
      <c r="C26" s="57" t="str">
        <f ca="1">_xll.QIns_CreateEuropeanOption($A18&amp;"~"&amp;C$11,$K8,"XAU","ZAR",C18,C$19,1,"ZAR","2b","2b",FundingFx!$E$18)</f>
        <v>18m~0.1¬1</v>
      </c>
      <c r="D26" s="57" t="str">
        <f ca="1">_xll.QIns_CreateEuropeanOption($A18&amp;"~"&amp;D$11,$K8,"XAU","ZAR",D18,D$19,1,"ZAR","2b","2b",FundingFx!$E$18)</f>
        <v>18m~0.15¬1</v>
      </c>
      <c r="E26" s="57" t="str">
        <f ca="1">_xll.QIns_CreateEuropeanOption($A18&amp;"~"&amp;E$11,$K8,"XAU","ZAR",E18,E$19,1,"ZAR","2b","2b",FundingFx!$E$18)</f>
        <v>18m~0.25¬1</v>
      </c>
      <c r="F26" s="57" t="str">
        <f ca="1">_xll.QIns_CreateEuropeanOption($A18&amp;"~"&amp;F$11,$K8,"XAU","ZAR",F18,F$19,1,"ZAR","2b","2b",FundingFx!$E$18)</f>
        <v>18m~0.5¬1</v>
      </c>
      <c r="G26" s="57" t="str">
        <f ca="1">_xll.QIns_CreateEuropeanOption($A18&amp;"~"&amp;G$11,$K8,"XAU","ZAR",G18,G$19,1,"ZAR","2b","2b",FundingFx!$E$18)</f>
        <v>18m~0.75¬1</v>
      </c>
      <c r="H26" s="57" t="str">
        <f ca="1">_xll.QIns_CreateEuropeanOption($A18&amp;"~"&amp;H$11,$K8,"XAU","ZAR",H18,H$19,1,"ZAR","2b","2b",FundingFx!$E$18)</f>
        <v>18m~0.9¬1</v>
      </c>
      <c r="I26" s="57" t="str">
        <f ca="1">_xll.QIns_CreateEuropeanOption($A18&amp;"~"&amp;I$11,$K8,"XAU","ZAR",I18,I$19,1,"ZAR","2b","2b",FundingFx!$E$18)</f>
        <v>18m~0.99¬1</v>
      </c>
      <c r="J26" s="57" t="str">
        <f ca="1">_xll.QIns_CreateEuropeanOption($A18&amp;"~"&amp;J$11,$K8,"XAU","ZAR",J18,J$19,1,"ZAR","2b","2b",FundingFx!$E$18)</f>
        <v>18m~0.9999¬1</v>
      </c>
      <c r="O26" t="str">
        <v>Could not find cube GridPV</v>
      </c>
      <c r="P26" t="str">
        <v>Could not find cube GridPV</v>
      </c>
      <c r="Q26" s="84" t="str">
        <v>Could not find cube GridPV</v>
      </c>
      <c r="R26" s="57" t="e">
        <f t="shared" si="4"/>
        <v>#VALUE!</v>
      </c>
      <c r="S26" s="57" t="e">
        <f t="shared" si="5"/>
        <v>#VALUE!</v>
      </c>
      <c r="T26" s="57" t="e">
        <f t="shared" si="6"/>
        <v>#VALUE!</v>
      </c>
      <c r="U26" s="84" t="str">
        <f t="shared" si="7"/>
        <v>Could not find cube GridPV</v>
      </c>
    </row>
    <row r="27" spans="1:21" x14ac:dyDescent="0.25">
      <c r="A27" s="57" t="str">
        <f ca="1">_xll.QIns_CreateEuropeanFxOption("fx1yZSC",$K7,"USD/ZAR",0,"C",1,"ZAR","2b","2b",FundingFx!$E$18)</f>
        <v>fx1yZSC¬1</v>
      </c>
      <c r="B27" s="57"/>
      <c r="C27" s="57"/>
      <c r="D27" s="57"/>
      <c r="E27" s="57"/>
      <c r="F27" s="57"/>
      <c r="G27" s="57"/>
      <c r="H27" s="57"/>
      <c r="I27" s="57"/>
      <c r="J27" s="57"/>
      <c r="O27" t="str">
        <v>Could not find cube GridPV</v>
      </c>
      <c r="P27" t="str">
        <v>Could not find cube GridPV</v>
      </c>
      <c r="Q27" s="84" t="str">
        <v>Could not find cube GridPV</v>
      </c>
      <c r="R27" s="57" t="e">
        <f t="shared" si="4"/>
        <v>#VALUE!</v>
      </c>
      <c r="S27" s="57" t="e">
        <f t="shared" si="5"/>
        <v>#VALUE!</v>
      </c>
      <c r="T27" s="57" t="e">
        <f t="shared" si="6"/>
        <v>#VALUE!</v>
      </c>
      <c r="U27" s="84" t="str">
        <f t="shared" si="7"/>
        <v>Could not find cube GridPV</v>
      </c>
    </row>
    <row r="28" spans="1:21" x14ac:dyDescent="0.25">
      <c r="A28" t="s">
        <v>125</v>
      </c>
      <c r="B28" s="119" t="e">
        <f>VLOOKUP($A12&amp;B$11,$T$17:$U$193,2,FALSE)</f>
        <v>#N/A</v>
      </c>
      <c r="C28" s="119" t="e">
        <f t="shared" ref="C28:J28" si="8">VLOOKUP($A12&amp;C$11,$T$17:$U$193,2,FALSE)</f>
        <v>#N/A</v>
      </c>
      <c r="D28" s="119" t="e">
        <f t="shared" si="8"/>
        <v>#N/A</v>
      </c>
      <c r="E28" s="119" t="e">
        <f t="shared" si="8"/>
        <v>#N/A</v>
      </c>
      <c r="F28" s="119" t="e">
        <f t="shared" si="8"/>
        <v>#N/A</v>
      </c>
      <c r="G28" s="119" t="e">
        <f t="shared" si="8"/>
        <v>#N/A</v>
      </c>
      <c r="H28" s="119" t="e">
        <f t="shared" si="8"/>
        <v>#N/A</v>
      </c>
      <c r="I28" s="119" t="e">
        <f t="shared" si="8"/>
        <v>#N/A</v>
      </c>
      <c r="J28" s="119" t="e">
        <f t="shared" si="8"/>
        <v>#N/A</v>
      </c>
      <c r="O28" t="str">
        <v>Could not find cube GridPV</v>
      </c>
      <c r="P28" t="str">
        <v>Could not find cube GridPV</v>
      </c>
      <c r="Q28" s="84" t="str">
        <v>Could not find cube GridPV</v>
      </c>
      <c r="R28" s="57" t="e">
        <f t="shared" si="4"/>
        <v>#VALUE!</v>
      </c>
      <c r="S28" s="57" t="e">
        <f t="shared" si="5"/>
        <v>#VALUE!</v>
      </c>
      <c r="T28" s="57" t="e">
        <f t="shared" si="6"/>
        <v>#VALUE!</v>
      </c>
      <c r="U28" s="84" t="str">
        <f t="shared" si="7"/>
        <v>Could not find cube GridPV</v>
      </c>
    </row>
    <row r="29" spans="1:21" x14ac:dyDescent="0.25">
      <c r="B29" s="119" t="e">
        <f>VLOOKUP($A13&amp;B$11,$T$17:$U$193,2,FALSE)</f>
        <v>#N/A</v>
      </c>
      <c r="C29" s="119" t="e">
        <f t="shared" ref="C29:J29" si="9">VLOOKUP($A13&amp;C$11,$T$17:$U$193,2,FALSE)</f>
        <v>#N/A</v>
      </c>
      <c r="D29" s="119" t="e">
        <f t="shared" si="9"/>
        <v>#N/A</v>
      </c>
      <c r="E29" s="119" t="e">
        <f t="shared" si="9"/>
        <v>#N/A</v>
      </c>
      <c r="F29" s="119" t="e">
        <f t="shared" si="9"/>
        <v>#N/A</v>
      </c>
      <c r="G29" s="119" t="e">
        <f t="shared" si="9"/>
        <v>#N/A</v>
      </c>
      <c r="H29" s="119" t="e">
        <f t="shared" si="9"/>
        <v>#N/A</v>
      </c>
      <c r="I29" s="119" t="e">
        <f t="shared" si="9"/>
        <v>#N/A</v>
      </c>
      <c r="J29" s="119" t="e">
        <f t="shared" si="9"/>
        <v>#N/A</v>
      </c>
      <c r="O29" t="str">
        <v>Could not find cube GridPV</v>
      </c>
      <c r="P29" t="str">
        <v>Could not find cube GridPV</v>
      </c>
      <c r="Q29" s="84" t="str">
        <v>Could not find cube GridPV</v>
      </c>
      <c r="R29" s="57" t="e">
        <f t="shared" si="4"/>
        <v>#VALUE!</v>
      </c>
      <c r="S29" s="57" t="e">
        <f t="shared" si="5"/>
        <v>#VALUE!</v>
      </c>
      <c r="T29" s="57" t="e">
        <f t="shared" si="6"/>
        <v>#VALUE!</v>
      </c>
      <c r="U29" s="84" t="str">
        <f t="shared" si="7"/>
        <v>Could not find cube GridPV</v>
      </c>
    </row>
    <row r="30" spans="1:21" x14ac:dyDescent="0.25">
      <c r="B30" s="119" t="e">
        <f t="shared" ref="B30:J30" si="10">VLOOKUP($A14&amp;B$11,$T$17:$U$193,2,FALSE)</f>
        <v>#N/A</v>
      </c>
      <c r="C30" s="119" t="e">
        <f t="shared" si="10"/>
        <v>#N/A</v>
      </c>
      <c r="D30" s="119" t="e">
        <f t="shared" si="10"/>
        <v>#N/A</v>
      </c>
      <c r="E30" s="119" t="e">
        <f t="shared" si="10"/>
        <v>#N/A</v>
      </c>
      <c r="F30" s="119" t="e">
        <f t="shared" si="10"/>
        <v>#N/A</v>
      </c>
      <c r="G30" s="119" t="e">
        <f t="shared" si="10"/>
        <v>#N/A</v>
      </c>
      <c r="H30" s="119" t="e">
        <f t="shared" si="10"/>
        <v>#N/A</v>
      </c>
      <c r="I30" s="119" t="e">
        <f t="shared" si="10"/>
        <v>#N/A</v>
      </c>
      <c r="J30" s="119" t="e">
        <f t="shared" si="10"/>
        <v>#N/A</v>
      </c>
      <c r="O30" t="str">
        <v>Could not find cube GridPV</v>
      </c>
      <c r="P30" t="str">
        <v>Could not find cube GridPV</v>
      </c>
      <c r="Q30" s="84" t="str">
        <v>Could not find cube GridPV</v>
      </c>
      <c r="R30" s="57" t="e">
        <f t="shared" si="4"/>
        <v>#VALUE!</v>
      </c>
      <c r="S30" s="57" t="e">
        <f t="shared" si="5"/>
        <v>#VALUE!</v>
      </c>
      <c r="T30" s="57" t="e">
        <f t="shared" si="6"/>
        <v>#VALUE!</v>
      </c>
      <c r="U30" s="84" t="str">
        <f t="shared" si="7"/>
        <v>Could not find cube GridPV</v>
      </c>
    </row>
    <row r="31" spans="1:21" x14ac:dyDescent="0.25">
      <c r="B31" s="119" t="e">
        <f t="shared" ref="B31:J31" si="11">VLOOKUP($A15&amp;B$11,$T$17:$U$193,2,FALSE)</f>
        <v>#N/A</v>
      </c>
      <c r="C31" s="119" t="e">
        <f t="shared" si="11"/>
        <v>#N/A</v>
      </c>
      <c r="D31" s="119" t="e">
        <f t="shared" si="11"/>
        <v>#N/A</v>
      </c>
      <c r="E31" s="119" t="e">
        <f t="shared" si="11"/>
        <v>#N/A</v>
      </c>
      <c r="F31" s="119" t="e">
        <f t="shared" si="11"/>
        <v>#N/A</v>
      </c>
      <c r="G31" s="119" t="e">
        <f t="shared" si="11"/>
        <v>#N/A</v>
      </c>
      <c r="H31" s="119" t="e">
        <f t="shared" si="11"/>
        <v>#N/A</v>
      </c>
      <c r="I31" s="119" t="e">
        <f t="shared" si="11"/>
        <v>#N/A</v>
      </c>
      <c r="J31" s="119" t="e">
        <f t="shared" si="11"/>
        <v>#N/A</v>
      </c>
      <c r="O31" t="str">
        <v>Could not find cube GridPV</v>
      </c>
      <c r="P31" t="str">
        <v>Could not find cube GridPV</v>
      </c>
      <c r="Q31" s="84" t="str">
        <v>Could not find cube GridPV</v>
      </c>
      <c r="R31" s="57" t="e">
        <f t="shared" si="4"/>
        <v>#VALUE!</v>
      </c>
      <c r="S31" s="57" t="e">
        <f t="shared" si="5"/>
        <v>#VALUE!</v>
      </c>
      <c r="T31" s="57" t="e">
        <f t="shared" si="6"/>
        <v>#VALUE!</v>
      </c>
      <c r="U31" s="84" t="str">
        <f t="shared" si="7"/>
        <v>Could not find cube GridPV</v>
      </c>
    </row>
    <row r="32" spans="1:21" x14ac:dyDescent="0.25">
      <c r="B32" s="119" t="e">
        <f t="shared" ref="B32:J32" si="12">VLOOKUP($A16&amp;B$11,$T$17:$U$193,2,FALSE)</f>
        <v>#N/A</v>
      </c>
      <c r="C32" s="119" t="e">
        <f t="shared" si="12"/>
        <v>#N/A</v>
      </c>
      <c r="D32" s="119" t="e">
        <f t="shared" si="12"/>
        <v>#N/A</v>
      </c>
      <c r="E32" s="119" t="e">
        <f t="shared" si="12"/>
        <v>#N/A</v>
      </c>
      <c r="F32" s="119" t="e">
        <f t="shared" si="12"/>
        <v>#N/A</v>
      </c>
      <c r="G32" s="119" t="e">
        <f t="shared" si="12"/>
        <v>#N/A</v>
      </c>
      <c r="H32" s="119" t="e">
        <f t="shared" si="12"/>
        <v>#N/A</v>
      </c>
      <c r="I32" s="119" t="e">
        <f t="shared" si="12"/>
        <v>#N/A</v>
      </c>
      <c r="J32" s="119" t="e">
        <f t="shared" si="12"/>
        <v>#N/A</v>
      </c>
      <c r="O32" t="str">
        <v>Could not find cube GridPV</v>
      </c>
      <c r="P32" t="str">
        <v>Could not find cube GridPV</v>
      </c>
      <c r="Q32" s="84" t="str">
        <v>Could not find cube GridPV</v>
      </c>
      <c r="R32" s="57" t="e">
        <f t="shared" si="4"/>
        <v>#VALUE!</v>
      </c>
      <c r="S32" s="57" t="e">
        <f t="shared" si="5"/>
        <v>#VALUE!</v>
      </c>
      <c r="T32" s="57" t="e">
        <f t="shared" si="6"/>
        <v>#VALUE!</v>
      </c>
      <c r="U32" s="84" t="str">
        <f t="shared" si="7"/>
        <v>Could not find cube GridPV</v>
      </c>
    </row>
    <row r="33" spans="1:21" x14ac:dyDescent="0.25">
      <c r="B33" s="119" t="e">
        <f t="shared" ref="B33:J33" si="13">VLOOKUP($A17&amp;B$11,$T$17:$U$193,2,FALSE)</f>
        <v>#N/A</v>
      </c>
      <c r="C33" s="119" t="e">
        <f t="shared" si="13"/>
        <v>#N/A</v>
      </c>
      <c r="D33" s="119" t="e">
        <f t="shared" si="13"/>
        <v>#N/A</v>
      </c>
      <c r="E33" s="119" t="e">
        <f t="shared" si="13"/>
        <v>#N/A</v>
      </c>
      <c r="F33" s="119" t="e">
        <f t="shared" si="13"/>
        <v>#N/A</v>
      </c>
      <c r="G33" s="119" t="e">
        <f t="shared" si="13"/>
        <v>#N/A</v>
      </c>
      <c r="H33" s="119" t="e">
        <f t="shared" si="13"/>
        <v>#N/A</v>
      </c>
      <c r="I33" s="119" t="e">
        <f t="shared" si="13"/>
        <v>#N/A</v>
      </c>
      <c r="J33" s="119" t="e">
        <f t="shared" si="13"/>
        <v>#N/A</v>
      </c>
      <c r="O33" t="str">
        <v>Could not find cube GridPV</v>
      </c>
      <c r="P33" t="str">
        <v>Could not find cube GridPV</v>
      </c>
      <c r="Q33" s="84" t="str">
        <v>Could not find cube GridPV</v>
      </c>
      <c r="R33" s="57" t="e">
        <f t="shared" si="4"/>
        <v>#VALUE!</v>
      </c>
      <c r="S33" s="57" t="e">
        <f t="shared" si="5"/>
        <v>#VALUE!</v>
      </c>
      <c r="T33" s="57" t="e">
        <f t="shared" si="6"/>
        <v>#VALUE!</v>
      </c>
      <c r="U33" s="84" t="str">
        <f t="shared" si="7"/>
        <v>Could not find cube GridPV</v>
      </c>
    </row>
    <row r="34" spans="1:21" x14ac:dyDescent="0.25">
      <c r="B34" s="119" t="e">
        <f t="shared" ref="B34:J34" si="14">VLOOKUP($A18&amp;B$11,$T$17:$U$193,2,FALSE)</f>
        <v>#N/A</v>
      </c>
      <c r="C34" s="119" t="e">
        <f t="shared" si="14"/>
        <v>#N/A</v>
      </c>
      <c r="D34" s="119" t="e">
        <f t="shared" si="14"/>
        <v>#N/A</v>
      </c>
      <c r="E34" s="119" t="e">
        <f t="shared" si="14"/>
        <v>#N/A</v>
      </c>
      <c r="F34" s="119" t="e">
        <f t="shared" si="14"/>
        <v>#N/A</v>
      </c>
      <c r="G34" s="119" t="e">
        <f t="shared" si="14"/>
        <v>#N/A</v>
      </c>
      <c r="H34" s="119" t="e">
        <f t="shared" si="14"/>
        <v>#N/A</v>
      </c>
      <c r="I34" s="119" t="e">
        <f t="shared" si="14"/>
        <v>#N/A</v>
      </c>
      <c r="J34" s="119" t="e">
        <f t="shared" si="14"/>
        <v>#N/A</v>
      </c>
      <c r="O34" t="str">
        <v>Could not find cube GridPV</v>
      </c>
      <c r="P34" t="str">
        <v>Could not find cube GridPV</v>
      </c>
      <c r="Q34" s="84" t="str">
        <v>Could not find cube GridPV</v>
      </c>
      <c r="R34" s="57" t="e">
        <f t="shared" si="4"/>
        <v>#VALUE!</v>
      </c>
      <c r="S34" s="57" t="e">
        <f t="shared" si="5"/>
        <v>#VALUE!</v>
      </c>
      <c r="T34" s="57" t="e">
        <f t="shared" si="6"/>
        <v>#VALUE!</v>
      </c>
      <c r="U34" s="84" t="str">
        <f t="shared" si="7"/>
        <v>Could not find cube GridPV</v>
      </c>
    </row>
    <row r="35" spans="1:21" x14ac:dyDescent="0.25">
      <c r="B35" s="119"/>
      <c r="C35" s="119"/>
      <c r="D35" s="119"/>
      <c r="E35" s="119"/>
      <c r="F35" s="119"/>
      <c r="G35" s="119"/>
      <c r="H35" s="119"/>
      <c r="I35" s="119"/>
      <c r="J35" s="119"/>
      <c r="O35" t="str">
        <v>Could not find cube GridPV</v>
      </c>
      <c r="P35" t="str">
        <v>Could not find cube GridPV</v>
      </c>
      <c r="Q35" s="84" t="str">
        <v>Could not find cube GridPV</v>
      </c>
      <c r="R35" s="57" t="e">
        <f t="shared" si="4"/>
        <v>#VALUE!</v>
      </c>
      <c r="S35" s="57" t="e">
        <f t="shared" si="5"/>
        <v>#VALUE!</v>
      </c>
      <c r="T35" s="57" t="e">
        <f t="shared" si="6"/>
        <v>#VALUE!</v>
      </c>
      <c r="U35" s="84" t="str">
        <f t="shared" si="7"/>
        <v>Could not find cube GridPV</v>
      </c>
    </row>
    <row r="36" spans="1:21" x14ac:dyDescent="0.25">
      <c r="A36" t="s">
        <v>126</v>
      </c>
      <c r="B36" s="11" t="e">
        <f ca="1">_xll.QOpt_BlackImpliedVol($I2,B12,$L2,$J2,B28,B$19)</f>
        <v>#VALUE!</v>
      </c>
      <c r="C36" s="11" t="e">
        <f ca="1">_xll.QOpt_BlackImpliedVol($I2,C12,$L2,$J2,C28,C$19)</f>
        <v>#VALUE!</v>
      </c>
      <c r="D36" s="11" t="e">
        <f ca="1">_xll.QOpt_BlackImpliedVol($I2,D12,$L2,$J2,D28,D$19)</f>
        <v>#VALUE!</v>
      </c>
      <c r="E36" s="11" t="e">
        <f ca="1">_xll.QOpt_BlackImpliedVol($I2,E12,$L2,$J2,E28,E$19)</f>
        <v>#VALUE!</v>
      </c>
      <c r="F36" s="11" t="e">
        <f ca="1">_xll.QOpt_BlackImpliedVol($I2,F12,$L2,$J2,F28,F$19)</f>
        <v>#VALUE!</v>
      </c>
      <c r="G36" s="11" t="e">
        <f ca="1">_xll.QOpt_BlackImpliedVol($I2,G12,$L2,$J2,G28,G$19)</f>
        <v>#VALUE!</v>
      </c>
      <c r="H36" s="11" t="e">
        <f ca="1">_xll.QOpt_BlackImpliedVol($I2,H12,$L2,$J2,H28,H$19)</f>
        <v>#VALUE!</v>
      </c>
      <c r="I36" s="11" t="e">
        <f ca="1">_xll.QOpt_BlackImpliedVol($I2,I12,$L2,$J2,I28,I$19)</f>
        <v>#VALUE!</v>
      </c>
      <c r="J36" s="11" t="e">
        <f ca="1">_xll.QOpt_BlackImpliedVol($I2,J12,$L2,$J2,J28,J$19)</f>
        <v>#VALUE!</v>
      </c>
      <c r="O36" t="str">
        <v>Could not find cube GridPV</v>
      </c>
      <c r="P36" t="str">
        <v>Could not find cube GridPV</v>
      </c>
      <c r="Q36" s="84" t="str">
        <v>Could not find cube GridPV</v>
      </c>
      <c r="R36" s="57" t="e">
        <f t="shared" si="4"/>
        <v>#VALUE!</v>
      </c>
      <c r="S36" s="57" t="e">
        <f t="shared" si="5"/>
        <v>#VALUE!</v>
      </c>
      <c r="T36" s="57" t="e">
        <f t="shared" si="6"/>
        <v>#VALUE!</v>
      </c>
      <c r="U36" s="84" t="str">
        <f t="shared" si="7"/>
        <v>Could not find cube GridPV</v>
      </c>
    </row>
    <row r="37" spans="1:21" x14ac:dyDescent="0.25">
      <c r="B37" s="11" t="e">
        <f ca="1">_xll.QOpt_BlackImpliedVol($I3,B13,$L3,$J3,B29,B$19)</f>
        <v>#VALUE!</v>
      </c>
      <c r="C37" s="11" t="e">
        <f ca="1">_xll.QOpt_BlackImpliedVol($I3,C13,$L3,$J3,C29,C$19)</f>
        <v>#VALUE!</v>
      </c>
      <c r="D37" s="11" t="e">
        <f ca="1">_xll.QOpt_BlackImpliedVol($I3,D13,$L3,$J3,D29,D$19)</f>
        <v>#VALUE!</v>
      </c>
      <c r="E37" s="11" t="e">
        <f ca="1">_xll.QOpt_BlackImpliedVol($I3,E13,$L3,$J3,E29,E$19)</f>
        <v>#VALUE!</v>
      </c>
      <c r="F37" s="11" t="e">
        <f ca="1">_xll.QOpt_BlackImpliedVol($I3,F13,$L3,$J3,F29,F$19)</f>
        <v>#VALUE!</v>
      </c>
      <c r="G37" s="11" t="e">
        <f ca="1">_xll.QOpt_BlackImpliedVol($I3,G13,$L3,$J3,G29,G$19)</f>
        <v>#VALUE!</v>
      </c>
      <c r="H37" s="11" t="e">
        <f ca="1">_xll.QOpt_BlackImpliedVol($I3,H13,$L3,$J3,H29,H$19)</f>
        <v>#VALUE!</v>
      </c>
      <c r="I37" s="11" t="e">
        <f ca="1">_xll.QOpt_BlackImpliedVol($I3,I13,$L3,$J3,I29,I$19)</f>
        <v>#VALUE!</v>
      </c>
      <c r="J37" s="11" t="e">
        <f ca="1">_xll.QOpt_BlackImpliedVol($I3,J13,$L3,$J3,J29,J$19)</f>
        <v>#VALUE!</v>
      </c>
      <c r="O37" t="str">
        <v>Could not find cube GridPV</v>
      </c>
      <c r="P37" t="str">
        <v>Could not find cube GridPV</v>
      </c>
      <c r="Q37" s="84" t="str">
        <v>Could not find cube GridPV</v>
      </c>
      <c r="R37" s="57" t="e">
        <f t="shared" si="4"/>
        <v>#VALUE!</v>
      </c>
      <c r="S37" s="57" t="e">
        <f t="shared" si="5"/>
        <v>#VALUE!</v>
      </c>
      <c r="T37" s="57" t="e">
        <f t="shared" si="6"/>
        <v>#VALUE!</v>
      </c>
      <c r="U37" s="84" t="str">
        <f t="shared" si="7"/>
        <v>Could not find cube GridPV</v>
      </c>
    </row>
    <row r="38" spans="1:21" x14ac:dyDescent="0.25">
      <c r="B38" s="11" t="e">
        <f ca="1">_xll.QOpt_BlackImpliedVol($I4,B14,$L4,$J4,B30,B$19)</f>
        <v>#VALUE!</v>
      </c>
      <c r="C38" s="11" t="e">
        <f ca="1">_xll.QOpt_BlackImpliedVol($I4,C14,$L4,$J4,C30,C$19)</f>
        <v>#VALUE!</v>
      </c>
      <c r="D38" s="11" t="e">
        <f ca="1">_xll.QOpt_BlackImpliedVol($I4,D14,$L4,$J4,D30,D$19)</f>
        <v>#VALUE!</v>
      </c>
      <c r="E38" s="11" t="e">
        <f ca="1">_xll.QOpt_BlackImpliedVol($I4,E14,$L4,$J4,E30,E$19)</f>
        <v>#VALUE!</v>
      </c>
      <c r="F38" s="11" t="e">
        <f ca="1">_xll.QOpt_BlackImpliedVol($I4,F14,$L4,$J4,F30,F$19)</f>
        <v>#VALUE!</v>
      </c>
      <c r="G38" s="11" t="e">
        <f ca="1">_xll.QOpt_BlackImpliedVol($I4,G14,$L4,$J4,G30,G$19)</f>
        <v>#VALUE!</v>
      </c>
      <c r="H38" s="11" t="e">
        <f ca="1">_xll.QOpt_BlackImpliedVol($I4,H14,$L4,$J4,H30,H$19)</f>
        <v>#VALUE!</v>
      </c>
      <c r="I38" s="11" t="e">
        <f ca="1">_xll.QOpt_BlackImpliedVol($I4,I14,$L4,$J4,I30,I$19)</f>
        <v>#VALUE!</v>
      </c>
      <c r="J38" s="11" t="e">
        <f ca="1">_xll.QOpt_BlackImpliedVol($I4,J14,$L4,$J4,J30,J$19)</f>
        <v>#VALUE!</v>
      </c>
      <c r="O38" t="str">
        <v>Could not find cube GridPV</v>
      </c>
      <c r="P38" t="str">
        <v>Could not find cube GridPV</v>
      </c>
      <c r="Q38" s="84" t="str">
        <v>Could not find cube GridPV</v>
      </c>
      <c r="R38" s="57" t="e">
        <f t="shared" si="4"/>
        <v>#VALUE!</v>
      </c>
      <c r="S38" s="57" t="e">
        <f t="shared" si="5"/>
        <v>#VALUE!</v>
      </c>
      <c r="T38" s="57" t="e">
        <f t="shared" si="6"/>
        <v>#VALUE!</v>
      </c>
      <c r="U38" s="84" t="str">
        <f t="shared" si="7"/>
        <v>Could not find cube GridPV</v>
      </c>
    </row>
    <row r="39" spans="1:21" x14ac:dyDescent="0.25">
      <c r="B39" s="11" t="e">
        <f ca="1">_xll.QOpt_BlackImpliedVol($I5,B15,$L5,$J5,B31,B$19)</f>
        <v>#VALUE!</v>
      </c>
      <c r="C39" s="11" t="e">
        <f ca="1">_xll.QOpt_BlackImpliedVol($I5,C15,$L5,$J5,C31,C$19)</f>
        <v>#VALUE!</v>
      </c>
      <c r="D39" s="11" t="e">
        <f ca="1">_xll.QOpt_BlackImpliedVol($I5,D15,$L5,$J5,D31,D$19)</f>
        <v>#VALUE!</v>
      </c>
      <c r="E39" s="11" t="e">
        <f ca="1">_xll.QOpt_BlackImpliedVol($I5,E15,$L5,$J5,E31,E$19)</f>
        <v>#VALUE!</v>
      </c>
      <c r="F39" s="11" t="e">
        <f ca="1">_xll.QOpt_BlackImpliedVol($I5,F15,$L5,$J5,F31,F$19)</f>
        <v>#VALUE!</v>
      </c>
      <c r="G39" s="11" t="e">
        <f ca="1">_xll.QOpt_BlackImpliedVol($I5,G15,$L5,$J5,G31,G$19)</f>
        <v>#VALUE!</v>
      </c>
      <c r="H39" s="11" t="e">
        <f ca="1">_xll.QOpt_BlackImpliedVol($I5,H15,$L5,$J5,H31,H$19)</f>
        <v>#VALUE!</v>
      </c>
      <c r="I39" s="11" t="e">
        <f ca="1">_xll.QOpt_BlackImpliedVol($I5,I15,$L5,$J5,I31,I$19)</f>
        <v>#VALUE!</v>
      </c>
      <c r="J39" s="11" t="e">
        <f ca="1">_xll.QOpt_BlackImpliedVol($I5,J15,$L5,$J5,J31,J$19)</f>
        <v>#VALUE!</v>
      </c>
      <c r="O39" t="str">
        <v>Could not find cube GridPV</v>
      </c>
      <c r="P39" t="str">
        <v>Could not find cube GridPV</v>
      </c>
      <c r="Q39" s="84" t="str">
        <v>Could not find cube GridPV</v>
      </c>
      <c r="R39" s="57" t="e">
        <f t="shared" si="4"/>
        <v>#VALUE!</v>
      </c>
      <c r="S39" s="57" t="e">
        <f t="shared" si="5"/>
        <v>#VALUE!</v>
      </c>
      <c r="T39" s="57" t="e">
        <f t="shared" si="6"/>
        <v>#VALUE!</v>
      </c>
      <c r="U39" s="84" t="str">
        <f t="shared" si="7"/>
        <v>Could not find cube GridPV</v>
      </c>
    </row>
    <row r="40" spans="1:21" x14ac:dyDescent="0.25">
      <c r="B40" s="11" t="e">
        <f ca="1">_xll.QOpt_BlackImpliedVol($I6,B16,$L6,$J6,B32,B$19)</f>
        <v>#VALUE!</v>
      </c>
      <c r="C40" s="11" t="e">
        <f ca="1">_xll.QOpt_BlackImpliedVol($I6,C16,$L6,$J6,C32,C$19)</f>
        <v>#VALUE!</v>
      </c>
      <c r="D40" s="11" t="e">
        <f ca="1">_xll.QOpt_BlackImpliedVol($I6,D16,$L6,$J6,D32,D$19)</f>
        <v>#VALUE!</v>
      </c>
      <c r="E40" s="11" t="e">
        <f ca="1">_xll.QOpt_BlackImpliedVol($I6,E16,$L6,$J6,E32,E$19)</f>
        <v>#VALUE!</v>
      </c>
      <c r="F40" s="11" t="e">
        <f ca="1">_xll.QOpt_BlackImpliedVol($I6,F16,$L6,$J6,F32,F$19)</f>
        <v>#VALUE!</v>
      </c>
      <c r="G40" s="11" t="e">
        <f ca="1">_xll.QOpt_BlackImpliedVol($I6,G16,$L6,$J6,G32,G$19)</f>
        <v>#VALUE!</v>
      </c>
      <c r="H40" s="11" t="e">
        <f ca="1">_xll.QOpt_BlackImpliedVol($I6,H16,$L6,$J6,H32,H$19)</f>
        <v>#VALUE!</v>
      </c>
      <c r="I40" s="11" t="e">
        <f ca="1">_xll.QOpt_BlackImpliedVol($I6,I16,$L6,$J6,I32,I$19)</f>
        <v>#VALUE!</v>
      </c>
      <c r="J40" s="11" t="e">
        <f ca="1">_xll.QOpt_BlackImpliedVol($I6,J16,$L6,$J6,J32,J$19)</f>
        <v>#VALUE!</v>
      </c>
      <c r="O40" t="str">
        <v>Could not find cube GridPV</v>
      </c>
      <c r="P40" t="str">
        <v>Could not find cube GridPV</v>
      </c>
      <c r="Q40" s="84" t="str">
        <v>Could not find cube GridPV</v>
      </c>
      <c r="R40" s="57" t="e">
        <f t="shared" si="4"/>
        <v>#VALUE!</v>
      </c>
      <c r="S40" s="57" t="e">
        <f t="shared" si="5"/>
        <v>#VALUE!</v>
      </c>
      <c r="T40" s="57" t="e">
        <f t="shared" si="6"/>
        <v>#VALUE!</v>
      </c>
      <c r="U40" s="84" t="str">
        <f t="shared" si="7"/>
        <v>Could not find cube GridPV</v>
      </c>
    </row>
    <row r="41" spans="1:21" x14ac:dyDescent="0.25">
      <c r="B41" s="11" t="e">
        <f ca="1">_xll.QOpt_BlackImpliedVol($I7,B17,$L7,$J7,B33,B$19)</f>
        <v>#VALUE!</v>
      </c>
      <c r="C41" s="11" t="e">
        <f ca="1">_xll.QOpt_BlackImpliedVol($I7,C17,$L7,$J7,C33,C$19)</f>
        <v>#VALUE!</v>
      </c>
      <c r="D41" s="11" t="e">
        <f ca="1">_xll.QOpt_BlackImpliedVol($I7,D17,$L7,$J7,D33,D$19)</f>
        <v>#VALUE!</v>
      </c>
      <c r="E41" s="11" t="e">
        <f ca="1">_xll.QOpt_BlackImpliedVol($I7,E17,$L7,$J7,E33,E$19)</f>
        <v>#VALUE!</v>
      </c>
      <c r="F41" s="11" t="e">
        <f ca="1">_xll.QOpt_BlackImpliedVol($I7,F17,$L7,$J7,F33,F$19)</f>
        <v>#VALUE!</v>
      </c>
      <c r="G41" s="11" t="e">
        <f ca="1">_xll.QOpt_BlackImpliedVol($I7,G17,$L7,$J7,G33,G$19)</f>
        <v>#VALUE!</v>
      </c>
      <c r="H41" s="11" t="e">
        <f ca="1">_xll.QOpt_BlackImpliedVol($I7,H17,$L7,$J7,H33,H$19)</f>
        <v>#VALUE!</v>
      </c>
      <c r="I41" s="11" t="e">
        <f ca="1">_xll.QOpt_BlackImpliedVol($I7,I17,$L7,$J7,I33,I$19)</f>
        <v>#VALUE!</v>
      </c>
      <c r="J41" s="11" t="e">
        <f ca="1">_xll.QOpt_BlackImpliedVol($I7,J17,$L7,$J7,J33,J$19)</f>
        <v>#VALUE!</v>
      </c>
      <c r="O41" t="str">
        <v>Could not find cube GridPV</v>
      </c>
      <c r="P41" t="str">
        <v>Could not find cube GridPV</v>
      </c>
      <c r="Q41" s="84" t="str">
        <v>Could not find cube GridPV</v>
      </c>
      <c r="R41" s="57" t="e">
        <f t="shared" si="4"/>
        <v>#VALUE!</v>
      </c>
      <c r="S41" s="57" t="e">
        <f t="shared" si="5"/>
        <v>#VALUE!</v>
      </c>
      <c r="T41" s="57" t="e">
        <f t="shared" si="6"/>
        <v>#VALUE!</v>
      </c>
      <c r="U41" s="84" t="str">
        <f t="shared" si="7"/>
        <v>Could not find cube GridPV</v>
      </c>
    </row>
    <row r="42" spans="1:21" x14ac:dyDescent="0.25">
      <c r="B42" s="11" t="e">
        <f ca="1">_xll.QOpt_BlackImpliedVol($I8,B18,$L8,$J8,B34,B$19)</f>
        <v>#VALUE!</v>
      </c>
      <c r="C42" s="11" t="e">
        <f ca="1">_xll.QOpt_BlackImpliedVol($I8,C18,$L8,$J8,C34,C$19)</f>
        <v>#VALUE!</v>
      </c>
      <c r="D42" s="11" t="e">
        <f ca="1">_xll.QOpt_BlackImpliedVol($I8,D18,$L8,$J8,D34,D$19)</f>
        <v>#VALUE!</v>
      </c>
      <c r="E42" s="11" t="e">
        <f ca="1">_xll.QOpt_BlackImpliedVol($I8,E18,$L8,$J8,E34,E$19)</f>
        <v>#VALUE!</v>
      </c>
      <c r="F42" s="11" t="e">
        <f ca="1">_xll.QOpt_BlackImpliedVol($I8,F18,$L8,$J8,F34,F$19)</f>
        <v>#VALUE!</v>
      </c>
      <c r="G42" s="11" t="e">
        <f ca="1">_xll.QOpt_BlackImpliedVol($I8,G18,$L8,$J8,G34,G$19)</f>
        <v>#VALUE!</v>
      </c>
      <c r="H42" s="11" t="e">
        <f ca="1">_xll.QOpt_BlackImpliedVol($I8,H18,$L8,$J8,H34,H$19)</f>
        <v>#VALUE!</v>
      </c>
      <c r="I42" s="11" t="e">
        <f ca="1">_xll.QOpt_BlackImpliedVol($I8,I18,$L8,$J8,I34,I$19)</f>
        <v>#VALUE!</v>
      </c>
      <c r="J42" s="11" t="e">
        <f ca="1">_xll.QOpt_BlackImpliedVol($I8,J18,$L8,$J8,J34,J$19)</f>
        <v>#VALUE!</v>
      </c>
      <c r="O42" t="str">
        <v>Could not find cube GridPV</v>
      </c>
      <c r="P42" t="str">
        <v>Could not find cube GridPV</v>
      </c>
      <c r="Q42" s="84" t="str">
        <v>Could not find cube GridPV</v>
      </c>
      <c r="R42" s="57" t="e">
        <f t="shared" si="4"/>
        <v>#VALUE!</v>
      </c>
      <c r="S42" s="57" t="e">
        <f t="shared" si="5"/>
        <v>#VALUE!</v>
      </c>
      <c r="T42" s="57" t="e">
        <f t="shared" si="6"/>
        <v>#VALUE!</v>
      </c>
      <c r="U42" s="84" t="str">
        <f t="shared" si="7"/>
        <v>Could not find cube GridPV</v>
      </c>
    </row>
    <row r="43" spans="1:21" x14ac:dyDescent="0.25">
      <c r="B43" s="119"/>
      <c r="C43" s="119"/>
      <c r="D43" s="119"/>
      <c r="E43" s="119"/>
      <c r="F43" s="119"/>
      <c r="G43" s="119"/>
      <c r="H43" s="119"/>
      <c r="I43" s="119"/>
      <c r="J43" s="119"/>
      <c r="O43" t="str">
        <v>Could not find cube GridPV</v>
      </c>
      <c r="P43" t="str">
        <v>Could not find cube GridPV</v>
      </c>
      <c r="Q43" s="84" t="str">
        <v>Could not find cube GridPV</v>
      </c>
      <c r="R43" s="57" t="e">
        <f t="shared" si="4"/>
        <v>#VALUE!</v>
      </c>
      <c r="S43" s="57" t="e">
        <f t="shared" si="5"/>
        <v>#VALUE!</v>
      </c>
      <c r="T43" s="57" t="e">
        <f t="shared" si="6"/>
        <v>#VALUE!</v>
      </c>
      <c r="U43" s="84" t="str">
        <f t="shared" si="7"/>
        <v>Could not find cube GridPV</v>
      </c>
    </row>
    <row r="44" spans="1:21" x14ac:dyDescent="0.25">
      <c r="A44" t="s">
        <v>127</v>
      </c>
      <c r="B44" s="11" t="e">
        <f ca="1">-_xll.QOpt_BlackDelta($I2,B12,$L2,$J2,B36,"P")</f>
        <v>#VALUE!</v>
      </c>
      <c r="C44" s="11" t="e">
        <f ca="1">-_xll.QOpt_BlackDelta($I2,C12,$L2,$J2,C36,"P")</f>
        <v>#VALUE!</v>
      </c>
      <c r="D44" s="11" t="e">
        <f ca="1">-_xll.QOpt_BlackDelta($I2,D12,$L2,$J2,D36,"P")</f>
        <v>#VALUE!</v>
      </c>
      <c r="E44" s="11" t="e">
        <f ca="1">-_xll.QOpt_BlackDelta($I2,E12,$L2,$J2,E36,"P")</f>
        <v>#VALUE!</v>
      </c>
      <c r="F44" s="11" t="e">
        <f ca="1">-_xll.QOpt_BlackDelta($I2,F12,$L2,$J2,F36,"P")</f>
        <v>#VALUE!</v>
      </c>
      <c r="G44" s="11" t="e">
        <f ca="1">-_xll.QOpt_BlackDelta($I2,G12,$L2,$J2,G36,"P")</f>
        <v>#VALUE!</v>
      </c>
      <c r="H44" s="11" t="e">
        <f ca="1">-_xll.QOpt_BlackDelta($I2,H12,$L2,$J2,H36,"P")</f>
        <v>#VALUE!</v>
      </c>
      <c r="I44" s="11" t="e">
        <f ca="1">-_xll.QOpt_BlackDelta($I2,I12,$L2,$J2,I36,"P")</f>
        <v>#VALUE!</v>
      </c>
      <c r="J44" s="11" t="e">
        <f ca="1">-_xll.QOpt_BlackDelta($I2,J12,$L2,$J2,J36,"P")</f>
        <v>#VALUE!</v>
      </c>
      <c r="K44" t="e">
        <f ca="1">_xll.QInterp_Create1dInterpolator(A12&amp;"vol",B44:J44,B36:J36,"CubicSpline")</f>
        <v>#VALUE!</v>
      </c>
      <c r="O44" t="str">
        <v>Could not find cube GridPV</v>
      </c>
      <c r="P44" t="str">
        <v>Could not find cube GridPV</v>
      </c>
      <c r="Q44" s="84" t="str">
        <v>Could not find cube GridPV</v>
      </c>
      <c r="R44" s="57" t="e">
        <f t="shared" si="4"/>
        <v>#VALUE!</v>
      </c>
      <c r="S44" s="57" t="e">
        <f t="shared" si="5"/>
        <v>#VALUE!</v>
      </c>
      <c r="T44" s="57" t="e">
        <f t="shared" si="6"/>
        <v>#VALUE!</v>
      </c>
      <c r="U44" s="84" t="str">
        <f t="shared" si="7"/>
        <v>Could not find cube GridPV</v>
      </c>
    </row>
    <row r="45" spans="1:21" x14ac:dyDescent="0.25">
      <c r="B45" s="11" t="e">
        <f ca="1">-_xll.QOpt_BlackDelta($I3,B13,$L3,$J3,B37,"P")</f>
        <v>#VALUE!</v>
      </c>
      <c r="C45" s="11" t="e">
        <f ca="1">-_xll.QOpt_BlackDelta($I3,C13,$L3,$J3,C37,"P")</f>
        <v>#VALUE!</v>
      </c>
      <c r="D45" s="11" t="e">
        <f ca="1">-_xll.QOpt_BlackDelta($I3,D13,$L3,$J3,D37,"P")</f>
        <v>#VALUE!</v>
      </c>
      <c r="E45" s="11" t="e">
        <f ca="1">-_xll.QOpt_BlackDelta($I3,E13,$L3,$J3,E37,"P")</f>
        <v>#VALUE!</v>
      </c>
      <c r="F45" s="11" t="e">
        <f ca="1">-_xll.QOpt_BlackDelta($I3,F13,$L3,$J3,F37,"P")</f>
        <v>#VALUE!</v>
      </c>
      <c r="G45" s="11" t="e">
        <f ca="1">-_xll.QOpt_BlackDelta($I3,G13,$L3,$J3,G37,"P")</f>
        <v>#VALUE!</v>
      </c>
      <c r="H45" s="11" t="e">
        <f ca="1">-_xll.QOpt_BlackDelta($I3,H13,$L3,$J3,H37,"P")</f>
        <v>#VALUE!</v>
      </c>
      <c r="I45" s="11" t="e">
        <f ca="1">-_xll.QOpt_BlackDelta($I3,I13,$L3,$J3,I37,"P")</f>
        <v>#VALUE!</v>
      </c>
      <c r="J45" s="11" t="e">
        <f ca="1">-_xll.QOpt_BlackDelta($I3,J13,$L3,$J3,J37,"P")</f>
        <v>#VALUE!</v>
      </c>
      <c r="K45" s="57" t="e">
        <f ca="1">_xll.QInterp_Create1dInterpolator(A13&amp;"vol",B45:J45,B37:J37,"CubicSpline")</f>
        <v>#VALUE!</v>
      </c>
      <c r="O45" t="str">
        <v>Could not find cube GridPV</v>
      </c>
      <c r="P45" t="str">
        <v>Could not find cube GridPV</v>
      </c>
      <c r="Q45" s="84" t="str">
        <v>Could not find cube GridPV</v>
      </c>
      <c r="R45" s="57" t="e">
        <f t="shared" si="4"/>
        <v>#VALUE!</v>
      </c>
      <c r="S45" s="57" t="e">
        <f t="shared" si="5"/>
        <v>#VALUE!</v>
      </c>
      <c r="T45" s="57" t="e">
        <f t="shared" si="6"/>
        <v>#VALUE!</v>
      </c>
      <c r="U45" s="84" t="str">
        <f t="shared" si="7"/>
        <v>Could not find cube GridPV</v>
      </c>
    </row>
    <row r="46" spans="1:21" x14ac:dyDescent="0.25">
      <c r="B46" s="11" t="e">
        <f ca="1">-_xll.QOpt_BlackDelta($I4,B14,$L4,$J4,B38,"P")</f>
        <v>#VALUE!</v>
      </c>
      <c r="C46" s="11" t="e">
        <f ca="1">-_xll.QOpt_BlackDelta($I4,C14,$L4,$J4,C38,"P")</f>
        <v>#VALUE!</v>
      </c>
      <c r="D46" s="11" t="e">
        <f ca="1">-_xll.QOpt_BlackDelta($I4,D14,$L4,$J4,D38,"P")</f>
        <v>#VALUE!</v>
      </c>
      <c r="E46" s="11" t="e">
        <f ca="1">-_xll.QOpt_BlackDelta($I4,E14,$L4,$J4,E38,"P")</f>
        <v>#VALUE!</v>
      </c>
      <c r="F46" s="11" t="e">
        <f ca="1">-_xll.QOpt_BlackDelta($I4,F14,$L4,$J4,F38,"P")</f>
        <v>#VALUE!</v>
      </c>
      <c r="G46" s="11" t="e">
        <f ca="1">-_xll.QOpt_BlackDelta($I4,G14,$L4,$J4,G38,"P")</f>
        <v>#VALUE!</v>
      </c>
      <c r="H46" s="11" t="e">
        <f ca="1">-_xll.QOpt_BlackDelta($I4,H14,$L4,$J4,H38,"P")</f>
        <v>#VALUE!</v>
      </c>
      <c r="I46" s="11" t="e">
        <f ca="1">-_xll.QOpt_BlackDelta($I4,I14,$L4,$J4,I38,"P")</f>
        <v>#VALUE!</v>
      </c>
      <c r="J46" s="11" t="e">
        <f ca="1">-_xll.QOpt_BlackDelta($I4,J14,$L4,$J4,J38,"P")</f>
        <v>#VALUE!</v>
      </c>
      <c r="K46" s="57" t="e">
        <f ca="1">_xll.QInterp_Create1dInterpolator(A14&amp;"vol",B46:J46,B38:J38,"CubicSpline")</f>
        <v>#VALUE!</v>
      </c>
      <c r="O46" t="str">
        <v>Could not find cube GridPV</v>
      </c>
      <c r="P46" t="str">
        <v>Could not find cube GridPV</v>
      </c>
      <c r="Q46" s="84" t="str">
        <v>Could not find cube GridPV</v>
      </c>
      <c r="R46" s="57" t="e">
        <f t="shared" si="4"/>
        <v>#VALUE!</v>
      </c>
      <c r="S46" s="57" t="e">
        <f t="shared" si="5"/>
        <v>#VALUE!</v>
      </c>
      <c r="T46" s="57" t="e">
        <f t="shared" si="6"/>
        <v>#VALUE!</v>
      </c>
      <c r="U46" s="84" t="str">
        <f t="shared" si="7"/>
        <v>Could not find cube GridPV</v>
      </c>
    </row>
    <row r="47" spans="1:21" x14ac:dyDescent="0.25">
      <c r="B47" s="11" t="e">
        <f ca="1">-_xll.QOpt_BlackDelta($I5,B15,$L5,$J5,B39,"P")</f>
        <v>#VALUE!</v>
      </c>
      <c r="C47" s="11" t="e">
        <f ca="1">-_xll.QOpt_BlackDelta($I5,C15,$L5,$J5,C39,"P")</f>
        <v>#VALUE!</v>
      </c>
      <c r="D47" s="11" t="e">
        <f ca="1">-_xll.QOpt_BlackDelta($I5,D15,$L5,$J5,D39,"P")</f>
        <v>#VALUE!</v>
      </c>
      <c r="E47" s="11" t="e">
        <f ca="1">-_xll.QOpt_BlackDelta($I5,E15,$L5,$J5,E39,"P")</f>
        <v>#VALUE!</v>
      </c>
      <c r="F47" s="11" t="e">
        <f ca="1">-_xll.QOpt_BlackDelta($I5,F15,$L5,$J5,F39,"P")</f>
        <v>#VALUE!</v>
      </c>
      <c r="G47" s="11" t="e">
        <f ca="1">-_xll.QOpt_BlackDelta($I5,G15,$L5,$J5,G39,"P")</f>
        <v>#VALUE!</v>
      </c>
      <c r="H47" s="11" t="e">
        <f ca="1">-_xll.QOpt_BlackDelta($I5,H15,$L5,$J5,H39,"P")</f>
        <v>#VALUE!</v>
      </c>
      <c r="I47" s="11" t="e">
        <f ca="1">-_xll.QOpt_BlackDelta($I5,I15,$L5,$J5,I39,"P")</f>
        <v>#VALUE!</v>
      </c>
      <c r="J47" s="11" t="e">
        <f ca="1">-_xll.QOpt_BlackDelta($I5,J15,$L5,$J5,J39,"P")</f>
        <v>#VALUE!</v>
      </c>
      <c r="K47" s="57" t="e">
        <f ca="1">_xll.QInterp_Create1dInterpolator(A15&amp;"vol",B47:J47,B39:J39,"CubicSpline")</f>
        <v>#VALUE!</v>
      </c>
      <c r="O47" t="str">
        <v>Could not find cube GridPV</v>
      </c>
      <c r="P47" t="str">
        <v>Could not find cube GridPV</v>
      </c>
      <c r="Q47" s="84" t="str">
        <v>Could not find cube GridPV</v>
      </c>
      <c r="R47" s="57" t="e">
        <f t="shared" si="4"/>
        <v>#VALUE!</v>
      </c>
      <c r="S47" s="57" t="e">
        <f t="shared" si="5"/>
        <v>#VALUE!</v>
      </c>
      <c r="T47" s="57" t="e">
        <f t="shared" si="6"/>
        <v>#VALUE!</v>
      </c>
      <c r="U47" s="84" t="str">
        <f t="shared" si="7"/>
        <v>Could not find cube GridPV</v>
      </c>
    </row>
    <row r="48" spans="1:21" x14ac:dyDescent="0.25">
      <c r="B48" s="11" t="e">
        <f ca="1">-_xll.QOpt_BlackDelta($I6,B16,$L6,$J6,B40,"P")</f>
        <v>#VALUE!</v>
      </c>
      <c r="C48" s="11" t="e">
        <f ca="1">-_xll.QOpt_BlackDelta($I6,C16,$L6,$J6,C40,"P")</f>
        <v>#VALUE!</v>
      </c>
      <c r="D48" s="11" t="e">
        <f ca="1">-_xll.QOpt_BlackDelta($I6,D16,$L6,$J6,D40,"P")</f>
        <v>#VALUE!</v>
      </c>
      <c r="E48" s="11" t="e">
        <f ca="1">-_xll.QOpt_BlackDelta($I6,E16,$L6,$J6,E40,"P")</f>
        <v>#VALUE!</v>
      </c>
      <c r="F48" s="11" t="e">
        <f ca="1">-_xll.QOpt_BlackDelta($I6,F16,$L6,$J6,F40,"P")</f>
        <v>#VALUE!</v>
      </c>
      <c r="G48" s="11" t="e">
        <f ca="1">-_xll.QOpt_BlackDelta($I6,G16,$L6,$J6,G40,"P")</f>
        <v>#VALUE!</v>
      </c>
      <c r="H48" s="11" t="e">
        <f ca="1">-_xll.QOpt_BlackDelta($I6,H16,$L6,$J6,H40,"P")</f>
        <v>#VALUE!</v>
      </c>
      <c r="I48" s="11" t="e">
        <f ca="1">-_xll.QOpt_BlackDelta($I6,I16,$L6,$J6,I40,"P")</f>
        <v>#VALUE!</v>
      </c>
      <c r="J48" s="11" t="e">
        <f ca="1">-_xll.QOpt_BlackDelta($I6,J16,$L6,$J6,J40,"P")</f>
        <v>#VALUE!</v>
      </c>
      <c r="K48" s="57" t="e">
        <f ca="1">_xll.QInterp_Create1dInterpolator(A16&amp;"vol",B48:J48,B40:J40,"CubicSpline")</f>
        <v>#VALUE!</v>
      </c>
      <c r="O48" t="str">
        <v>Could not find cube GridPV</v>
      </c>
      <c r="P48" t="str">
        <v>Could not find cube GridPV</v>
      </c>
      <c r="Q48" s="84" t="str">
        <v>Could not find cube GridPV</v>
      </c>
      <c r="R48" s="57" t="e">
        <f t="shared" si="4"/>
        <v>#VALUE!</v>
      </c>
      <c r="S48" s="57" t="e">
        <f t="shared" si="5"/>
        <v>#VALUE!</v>
      </c>
      <c r="T48" s="57" t="e">
        <f t="shared" si="6"/>
        <v>#VALUE!</v>
      </c>
      <c r="U48" s="84" t="str">
        <f t="shared" si="7"/>
        <v>Could not find cube GridPV</v>
      </c>
    </row>
    <row r="49" spans="1:21" x14ac:dyDescent="0.25">
      <c r="B49" s="11" t="e">
        <f ca="1">-_xll.QOpt_BlackDelta($I7,B17,$L7,$J7,B41,"P")</f>
        <v>#VALUE!</v>
      </c>
      <c r="C49" s="11" t="e">
        <f ca="1">-_xll.QOpt_BlackDelta($I7,C17,$L7,$J7,C41,"P")</f>
        <v>#VALUE!</v>
      </c>
      <c r="D49" s="11" t="e">
        <f ca="1">-_xll.QOpt_BlackDelta($I7,D17,$L7,$J7,D41,"P")</f>
        <v>#VALUE!</v>
      </c>
      <c r="E49" s="11" t="e">
        <f ca="1">-_xll.QOpt_BlackDelta($I7,E17,$L7,$J7,E41,"P")</f>
        <v>#VALUE!</v>
      </c>
      <c r="F49" s="11" t="e">
        <f ca="1">-_xll.QOpt_BlackDelta($I7,F17,$L7,$J7,F41,"P")</f>
        <v>#VALUE!</v>
      </c>
      <c r="G49" s="11" t="e">
        <f ca="1">-_xll.QOpt_BlackDelta($I7,G17,$L7,$J7,G41,"P")</f>
        <v>#VALUE!</v>
      </c>
      <c r="H49" s="11" t="e">
        <f ca="1">-_xll.QOpt_BlackDelta($I7,H17,$L7,$J7,H41,"P")</f>
        <v>#VALUE!</v>
      </c>
      <c r="I49" s="11" t="e">
        <f ca="1">-_xll.QOpt_BlackDelta($I7,I17,$L7,$J7,I41,"P")</f>
        <v>#VALUE!</v>
      </c>
      <c r="J49" s="11" t="e">
        <f ca="1">-_xll.QOpt_BlackDelta($I7,J17,$L7,$J7,J41,"P")</f>
        <v>#VALUE!</v>
      </c>
      <c r="K49" s="57" t="e">
        <f ca="1">_xll.QInterp_Create1dInterpolator(A17&amp;"vol",B49:J49,B41:J41,"CubicSpline")</f>
        <v>#VALUE!</v>
      </c>
      <c r="O49" t="str">
        <v>Could not find cube GridPV</v>
      </c>
      <c r="P49" t="str">
        <v>Could not find cube GridPV</v>
      </c>
      <c r="Q49" s="84" t="str">
        <v>Could not find cube GridPV</v>
      </c>
      <c r="R49" s="57" t="e">
        <f t="shared" si="4"/>
        <v>#VALUE!</v>
      </c>
      <c r="S49" s="57" t="e">
        <f t="shared" si="5"/>
        <v>#VALUE!</v>
      </c>
      <c r="T49" s="57" t="e">
        <f t="shared" si="6"/>
        <v>#VALUE!</v>
      </c>
      <c r="U49" s="84" t="str">
        <f t="shared" si="7"/>
        <v>Could not find cube GridPV</v>
      </c>
    </row>
    <row r="50" spans="1:21" x14ac:dyDescent="0.25">
      <c r="B50" s="11" t="e">
        <f ca="1">-_xll.QOpt_BlackDelta($I8,B18,$L8,$J8,B42,"P")</f>
        <v>#VALUE!</v>
      </c>
      <c r="C50" s="11" t="e">
        <f ca="1">-_xll.QOpt_BlackDelta($I8,C18,$L8,$J8,C42,"P")</f>
        <v>#VALUE!</v>
      </c>
      <c r="D50" s="11" t="e">
        <f ca="1">-_xll.QOpt_BlackDelta($I8,D18,$L8,$J8,D42,"P")</f>
        <v>#VALUE!</v>
      </c>
      <c r="E50" s="11" t="e">
        <f ca="1">-_xll.QOpt_BlackDelta($I8,E18,$L8,$J8,E42,"P")</f>
        <v>#VALUE!</v>
      </c>
      <c r="F50" s="11" t="e">
        <f ca="1">-_xll.QOpt_BlackDelta($I8,F18,$L8,$J8,F42,"P")</f>
        <v>#VALUE!</v>
      </c>
      <c r="G50" s="11" t="e">
        <f ca="1">-_xll.QOpt_BlackDelta($I8,G18,$L8,$J8,G42,"P")</f>
        <v>#VALUE!</v>
      </c>
      <c r="H50" s="11" t="e">
        <f ca="1">-_xll.QOpt_BlackDelta($I8,H18,$L8,$J8,H42,"P")</f>
        <v>#VALUE!</v>
      </c>
      <c r="I50" s="11" t="e">
        <f ca="1">-_xll.QOpt_BlackDelta($I8,I18,$L8,$J8,I42,"P")</f>
        <v>#VALUE!</v>
      </c>
      <c r="J50" s="11" t="e">
        <f ca="1">-_xll.QOpt_BlackDelta($I8,J18,$L8,$J8,J42,"P")</f>
        <v>#VALUE!</v>
      </c>
      <c r="K50" s="57" t="e">
        <f ca="1">_xll.QInterp_Create1dInterpolator(A18&amp;"vol",B50:J50,B42:J42,"CubicSpline")</f>
        <v>#VALUE!</v>
      </c>
      <c r="O50" t="str">
        <v>Could not find cube GridPV</v>
      </c>
      <c r="P50" t="str">
        <v>Could not find cube GridPV</v>
      </c>
      <c r="Q50" s="84" t="str">
        <v>Could not find cube GridPV</v>
      </c>
      <c r="R50" s="57" t="e">
        <f t="shared" si="4"/>
        <v>#VALUE!</v>
      </c>
      <c r="S50" s="57" t="e">
        <f t="shared" si="5"/>
        <v>#VALUE!</v>
      </c>
      <c r="T50" s="57" t="e">
        <f t="shared" si="6"/>
        <v>#VALUE!</v>
      </c>
      <c r="U50" s="84" t="str">
        <f t="shared" si="7"/>
        <v>Could not find cube GridPV</v>
      </c>
    </row>
    <row r="51" spans="1:21" x14ac:dyDescent="0.25">
      <c r="B51" s="11"/>
      <c r="C51" s="11"/>
      <c r="D51" s="11"/>
      <c r="E51" s="11"/>
      <c r="F51" s="11"/>
      <c r="G51" s="11"/>
      <c r="H51" s="11"/>
      <c r="I51" s="11"/>
      <c r="J51" s="11"/>
      <c r="O51" t="str">
        <v>Could not find cube GridPV</v>
      </c>
      <c r="P51" t="str">
        <v>Could not find cube GridPV</v>
      </c>
      <c r="Q51" s="84" t="str">
        <v>Could not find cube GridPV</v>
      </c>
      <c r="R51" s="57" t="e">
        <f t="shared" si="4"/>
        <v>#VALUE!</v>
      </c>
      <c r="S51" s="57" t="e">
        <f t="shared" si="5"/>
        <v>#VALUE!</v>
      </c>
      <c r="T51" s="57" t="e">
        <f t="shared" si="6"/>
        <v>#VALUE!</v>
      </c>
      <c r="U51" s="84" t="str">
        <f t="shared" si="7"/>
        <v>Could not find cube GridPV</v>
      </c>
    </row>
    <row r="52" spans="1:21" x14ac:dyDescent="0.25">
      <c r="H52" s="142" t="s">
        <v>87</v>
      </c>
      <c r="I52" s="142"/>
      <c r="J52" s="142" t="s">
        <v>88</v>
      </c>
      <c r="K52" s="142"/>
      <c r="O52" t="str">
        <v>Could not find cube GridPV</v>
      </c>
      <c r="P52" t="str">
        <v>Could not find cube GridPV</v>
      </c>
      <c r="Q52" s="84" t="str">
        <v>Could not find cube GridPV</v>
      </c>
      <c r="R52" s="57" t="e">
        <f t="shared" si="4"/>
        <v>#VALUE!</v>
      </c>
      <c r="S52" s="57" t="e">
        <f t="shared" si="5"/>
        <v>#VALUE!</v>
      </c>
      <c r="T52" s="57" t="e">
        <f t="shared" si="6"/>
        <v>#VALUE!</v>
      </c>
      <c r="U52" s="84" t="str">
        <f t="shared" si="7"/>
        <v>Could not find cube GridPV</v>
      </c>
    </row>
    <row r="53" spans="1:21" x14ac:dyDescent="0.25">
      <c r="B53" s="98">
        <v>0.1</v>
      </c>
      <c r="C53" s="98">
        <v>0.25</v>
      </c>
      <c r="D53" s="98">
        <v>0.5</v>
      </c>
      <c r="E53" s="98">
        <v>0.75</v>
      </c>
      <c r="F53" s="98">
        <v>0.9</v>
      </c>
      <c r="H53" s="98">
        <v>0.25</v>
      </c>
      <c r="I53" s="98">
        <v>0.1</v>
      </c>
      <c r="J53" s="98">
        <v>0.25</v>
      </c>
      <c r="K53" s="98">
        <v>0.1</v>
      </c>
      <c r="O53" t="str">
        <v>Could not find cube GridPV</v>
      </c>
      <c r="P53" t="str">
        <v>Could not find cube GridPV</v>
      </c>
      <c r="Q53" s="84" t="str">
        <v>Could not find cube GridPV</v>
      </c>
      <c r="R53" s="57" t="e">
        <f t="shared" si="4"/>
        <v>#VALUE!</v>
      </c>
      <c r="S53" s="57" t="e">
        <f t="shared" si="5"/>
        <v>#VALUE!</v>
      </c>
      <c r="T53" s="57" t="e">
        <f t="shared" si="6"/>
        <v>#VALUE!</v>
      </c>
      <c r="U53" s="84" t="str">
        <f t="shared" si="7"/>
        <v>Could not find cube GridPV</v>
      </c>
    </row>
    <row r="54" spans="1:21" x14ac:dyDescent="0.25">
      <c r="A54" t="str">
        <f>A12</f>
        <v>1m</v>
      </c>
      <c r="B54" s="11" t="e">
        <f ca="1">_xll.QInterp_Interpolate1d($K44,B$53)</f>
        <v>#VALUE!</v>
      </c>
      <c r="C54" s="11" t="e">
        <f ca="1">_xll.QInterp_Interpolate1d($K44,C$53)</f>
        <v>#VALUE!</v>
      </c>
      <c r="D54" s="11" t="e">
        <f ca="1">_xll.QInterp_Interpolate1d($K44,D$53)</f>
        <v>#VALUE!</v>
      </c>
      <c r="E54" s="11" t="e">
        <f ca="1">_xll.QInterp_Interpolate1d($K44,E$53)</f>
        <v>#VALUE!</v>
      </c>
      <c r="F54" s="11" t="e">
        <f ca="1">_xll.QInterp_Interpolate1d($K44,F$53)</f>
        <v>#VALUE!</v>
      </c>
      <c r="H54" s="11" t="e">
        <f ca="1">E54-C54</f>
        <v>#VALUE!</v>
      </c>
      <c r="I54" s="11" t="e">
        <f ca="1">F54-B54</f>
        <v>#VALUE!</v>
      </c>
      <c r="J54" s="11" t="e">
        <f ca="1">(E54+C54)/2-D54</f>
        <v>#VALUE!</v>
      </c>
      <c r="K54" s="11" t="e">
        <f ca="1">(F54+B54)/2-D54</f>
        <v>#VALUE!</v>
      </c>
      <c r="L54" s="1">
        <f t="shared" ref="L54:L60" ca="1" si="15">B2</f>
        <v>43518</v>
      </c>
      <c r="O54" t="str">
        <v>Could not find cube GridPV</v>
      </c>
      <c r="P54" t="str">
        <v>Could not find cube GridPV</v>
      </c>
      <c r="Q54" s="84" t="str">
        <v>Could not find cube GridPV</v>
      </c>
      <c r="R54" s="57" t="e">
        <f t="shared" si="4"/>
        <v>#VALUE!</v>
      </c>
      <c r="S54" s="57" t="e">
        <f t="shared" si="5"/>
        <v>#VALUE!</v>
      </c>
      <c r="T54" s="57" t="e">
        <f t="shared" si="6"/>
        <v>#VALUE!</v>
      </c>
      <c r="U54" s="84" t="str">
        <f t="shared" si="7"/>
        <v>Could not find cube GridPV</v>
      </c>
    </row>
    <row r="55" spans="1:21" x14ac:dyDescent="0.25">
      <c r="A55" s="57" t="str">
        <f t="shared" ref="A55:A60" si="16">A13</f>
        <v>2m</v>
      </c>
      <c r="B55" s="11" t="e">
        <f ca="1">_xll.QInterp_Interpolate1d($K45,B$53)</f>
        <v>#VALUE!</v>
      </c>
      <c r="C55" s="11" t="e">
        <f ca="1">_xll.QInterp_Interpolate1d($K45,C$53)</f>
        <v>#VALUE!</v>
      </c>
      <c r="D55" s="11" t="e">
        <f ca="1">_xll.QInterp_Interpolate1d($K45,D$53)</f>
        <v>#VALUE!</v>
      </c>
      <c r="E55" s="11" t="e">
        <f ca="1">_xll.QInterp_Interpolate1d($K45,E$53)</f>
        <v>#VALUE!</v>
      </c>
      <c r="F55" s="11" t="e">
        <f ca="1">_xll.QInterp_Interpolate1d($K45,F$53)</f>
        <v>#VALUE!</v>
      </c>
      <c r="H55" s="11" t="e">
        <f t="shared" ref="H55:H60" ca="1" si="17">E55-C55</f>
        <v>#VALUE!</v>
      </c>
      <c r="I55" s="11" t="e">
        <f t="shared" ref="I55:I60" ca="1" si="18">F55-B55</f>
        <v>#VALUE!</v>
      </c>
      <c r="J55" s="11" t="e">
        <f t="shared" ref="J55:J60" ca="1" si="19">(E55+C55)/2-D55</f>
        <v>#VALUE!</v>
      </c>
      <c r="K55" s="11" t="e">
        <f t="shared" ref="K55:K60" ca="1" si="20">(F55+B55)/2-D55</f>
        <v>#VALUE!</v>
      </c>
      <c r="L55" s="1">
        <f t="shared" ca="1" si="15"/>
        <v>43546</v>
      </c>
      <c r="O55" t="str">
        <v>Could not find cube GridPV</v>
      </c>
      <c r="P55" t="str">
        <v>Could not find cube GridPV</v>
      </c>
      <c r="Q55" s="84" t="str">
        <v>Could not find cube GridPV</v>
      </c>
      <c r="R55" s="57" t="e">
        <f t="shared" si="4"/>
        <v>#VALUE!</v>
      </c>
      <c r="S55" s="57" t="e">
        <f t="shared" si="5"/>
        <v>#VALUE!</v>
      </c>
      <c r="T55" s="57" t="e">
        <f t="shared" si="6"/>
        <v>#VALUE!</v>
      </c>
      <c r="U55" s="84" t="str">
        <f t="shared" si="7"/>
        <v>Could not find cube GridPV</v>
      </c>
    </row>
    <row r="56" spans="1:21" x14ac:dyDescent="0.25">
      <c r="A56" s="57" t="str">
        <f t="shared" si="16"/>
        <v>3m</v>
      </c>
      <c r="B56" s="11" t="e">
        <f ca="1">_xll.QInterp_Interpolate1d($K46,B$53)</f>
        <v>#VALUE!</v>
      </c>
      <c r="C56" s="11" t="e">
        <f ca="1">_xll.QInterp_Interpolate1d($K46,C$53)</f>
        <v>#VALUE!</v>
      </c>
      <c r="D56" s="11" t="e">
        <f ca="1">_xll.QInterp_Interpolate1d($K46,D$53)</f>
        <v>#VALUE!</v>
      </c>
      <c r="E56" s="11" t="e">
        <f ca="1">_xll.QInterp_Interpolate1d($K46,E$53)</f>
        <v>#VALUE!</v>
      </c>
      <c r="F56" s="11" t="e">
        <f ca="1">_xll.QInterp_Interpolate1d($K46,F$53)</f>
        <v>#VALUE!</v>
      </c>
      <c r="H56" s="11" t="e">
        <f t="shared" ca="1" si="17"/>
        <v>#VALUE!</v>
      </c>
      <c r="I56" s="11" t="e">
        <f t="shared" ca="1" si="18"/>
        <v>#VALUE!</v>
      </c>
      <c r="J56" s="11" t="e">
        <f t="shared" ca="1" si="19"/>
        <v>#VALUE!</v>
      </c>
      <c r="K56" s="11" t="e">
        <f t="shared" ca="1" si="20"/>
        <v>#VALUE!</v>
      </c>
      <c r="L56" s="1">
        <f t="shared" ca="1" si="15"/>
        <v>43578</v>
      </c>
      <c r="O56" t="str">
        <v>Could not find cube GridPV</v>
      </c>
      <c r="P56" t="str">
        <v>Could not find cube GridPV</v>
      </c>
      <c r="Q56" s="84" t="str">
        <v>Could not find cube GridPV</v>
      </c>
      <c r="R56" s="57" t="e">
        <f t="shared" si="4"/>
        <v>#VALUE!</v>
      </c>
      <c r="S56" s="57" t="e">
        <f t="shared" si="5"/>
        <v>#VALUE!</v>
      </c>
      <c r="T56" s="57" t="e">
        <f t="shared" si="6"/>
        <v>#VALUE!</v>
      </c>
      <c r="U56" s="84" t="str">
        <f t="shared" si="7"/>
        <v>Could not find cube GridPV</v>
      </c>
    </row>
    <row r="57" spans="1:21" x14ac:dyDescent="0.25">
      <c r="A57" s="57" t="str">
        <f t="shared" si="16"/>
        <v>6m</v>
      </c>
      <c r="B57" s="11" t="e">
        <f ca="1">_xll.QInterp_Interpolate1d($K47,B$53)</f>
        <v>#VALUE!</v>
      </c>
      <c r="C57" s="11" t="e">
        <f ca="1">_xll.QInterp_Interpolate1d($K47,C$53)</f>
        <v>#VALUE!</v>
      </c>
      <c r="D57" s="11" t="e">
        <f ca="1">_xll.QInterp_Interpolate1d($K47,D$53)</f>
        <v>#VALUE!</v>
      </c>
      <c r="E57" s="11" t="e">
        <f ca="1">_xll.QInterp_Interpolate1d($K47,E$53)</f>
        <v>#VALUE!</v>
      </c>
      <c r="F57" s="11" t="e">
        <f ca="1">_xll.QInterp_Interpolate1d($K47,F$53)</f>
        <v>#VALUE!</v>
      </c>
      <c r="H57" s="11" t="e">
        <f t="shared" ca="1" si="17"/>
        <v>#VALUE!</v>
      </c>
      <c r="I57" s="11" t="e">
        <f t="shared" ca="1" si="18"/>
        <v>#VALUE!</v>
      </c>
      <c r="J57" s="11" t="e">
        <f t="shared" ca="1" si="19"/>
        <v>#VALUE!</v>
      </c>
      <c r="K57" s="11" t="e">
        <f t="shared" ca="1" si="20"/>
        <v>#VALUE!</v>
      </c>
      <c r="L57" s="1">
        <f t="shared" ca="1" si="15"/>
        <v>43668</v>
      </c>
      <c r="O57" t="str">
        <v>Could not find cube GridPV</v>
      </c>
      <c r="P57" t="str">
        <v>Could not find cube GridPV</v>
      </c>
      <c r="Q57" s="84" t="str">
        <v>Could not find cube GridPV</v>
      </c>
      <c r="R57" s="57" t="e">
        <f t="shared" si="4"/>
        <v>#VALUE!</v>
      </c>
      <c r="S57" s="57" t="e">
        <f t="shared" si="5"/>
        <v>#VALUE!</v>
      </c>
      <c r="T57" s="57" t="e">
        <f t="shared" si="6"/>
        <v>#VALUE!</v>
      </c>
      <c r="U57" s="84" t="str">
        <f t="shared" si="7"/>
        <v>Could not find cube GridPV</v>
      </c>
    </row>
    <row r="58" spans="1:21" x14ac:dyDescent="0.25">
      <c r="A58" s="57" t="str">
        <f t="shared" si="16"/>
        <v>9m</v>
      </c>
      <c r="B58" s="11" t="e">
        <f ca="1">_xll.QInterp_Interpolate1d($K48,B$53)</f>
        <v>#VALUE!</v>
      </c>
      <c r="C58" s="11" t="e">
        <f ca="1">_xll.QInterp_Interpolate1d($K48,C$53)</f>
        <v>#VALUE!</v>
      </c>
      <c r="D58" s="11" t="e">
        <f ca="1">_xll.QInterp_Interpolate1d($K48,D$53)</f>
        <v>#VALUE!</v>
      </c>
      <c r="E58" s="11" t="e">
        <f ca="1">_xll.QInterp_Interpolate1d($K48,E$53)</f>
        <v>#VALUE!</v>
      </c>
      <c r="F58" s="11" t="e">
        <f ca="1">_xll.QInterp_Interpolate1d($K48,F$53)</f>
        <v>#VALUE!</v>
      </c>
      <c r="H58" s="11" t="e">
        <f t="shared" ca="1" si="17"/>
        <v>#VALUE!</v>
      </c>
      <c r="I58" s="11" t="e">
        <f t="shared" ca="1" si="18"/>
        <v>#VALUE!</v>
      </c>
      <c r="J58" s="11" t="e">
        <f t="shared" ca="1" si="19"/>
        <v>#VALUE!</v>
      </c>
      <c r="K58" s="11" t="e">
        <f t="shared" ca="1" si="20"/>
        <v>#VALUE!</v>
      </c>
      <c r="L58" s="1">
        <f t="shared" ca="1" si="15"/>
        <v>43760</v>
      </c>
      <c r="O58" t="str">
        <v>Could not find cube GridPV</v>
      </c>
      <c r="P58" t="str">
        <v>Could not find cube GridPV</v>
      </c>
      <c r="Q58" s="84" t="str">
        <v>Could not find cube GridPV</v>
      </c>
      <c r="R58" s="57" t="e">
        <f t="shared" si="4"/>
        <v>#VALUE!</v>
      </c>
      <c r="S58" s="57" t="e">
        <f t="shared" si="5"/>
        <v>#VALUE!</v>
      </c>
      <c r="T58" s="57" t="e">
        <f t="shared" si="6"/>
        <v>#VALUE!</v>
      </c>
      <c r="U58" s="84" t="str">
        <f t="shared" si="7"/>
        <v>Could not find cube GridPV</v>
      </c>
    </row>
    <row r="59" spans="1:21" x14ac:dyDescent="0.25">
      <c r="A59" s="57" t="str">
        <f t="shared" si="16"/>
        <v>1y</v>
      </c>
      <c r="B59" s="11" t="e">
        <f ca="1">_xll.QInterp_Interpolate1d($K49,B$53)</f>
        <v>#VALUE!</v>
      </c>
      <c r="C59" s="11" t="e">
        <f ca="1">_xll.QInterp_Interpolate1d($K49,C$53)</f>
        <v>#VALUE!</v>
      </c>
      <c r="D59" s="11" t="e">
        <f ca="1">_xll.QInterp_Interpolate1d($K49,D$53)</f>
        <v>#VALUE!</v>
      </c>
      <c r="E59" s="11" t="e">
        <f ca="1">_xll.QInterp_Interpolate1d($K49,E$53)</f>
        <v>#VALUE!</v>
      </c>
      <c r="F59" s="11" t="e">
        <f ca="1">_xll.QInterp_Interpolate1d($K49,F$53)</f>
        <v>#VALUE!</v>
      </c>
      <c r="H59" s="11" t="e">
        <f t="shared" ca="1" si="17"/>
        <v>#VALUE!</v>
      </c>
      <c r="I59" s="11" t="e">
        <f t="shared" ca="1" si="18"/>
        <v>#VALUE!</v>
      </c>
      <c r="J59" s="11" t="e">
        <f t="shared" ca="1" si="19"/>
        <v>#VALUE!</v>
      </c>
      <c r="K59" s="11" t="e">
        <f t="shared" ca="1" si="20"/>
        <v>#VALUE!</v>
      </c>
      <c r="L59" s="1">
        <f t="shared" ca="1" si="15"/>
        <v>43852</v>
      </c>
      <c r="O59" t="str">
        <v>Could not find cube GridPV</v>
      </c>
      <c r="P59" t="str">
        <v>Could not find cube GridPV</v>
      </c>
      <c r="Q59" s="84" t="str">
        <v>Could not find cube GridPV</v>
      </c>
      <c r="R59" s="57" t="e">
        <f t="shared" si="4"/>
        <v>#VALUE!</v>
      </c>
      <c r="S59" s="57" t="e">
        <f t="shared" si="5"/>
        <v>#VALUE!</v>
      </c>
      <c r="T59" s="57" t="e">
        <f t="shared" si="6"/>
        <v>#VALUE!</v>
      </c>
      <c r="U59" s="84" t="str">
        <f t="shared" si="7"/>
        <v>Could not find cube GridPV</v>
      </c>
    </row>
    <row r="60" spans="1:21" x14ac:dyDescent="0.25">
      <c r="A60" s="57" t="str">
        <f t="shared" si="16"/>
        <v>18m</v>
      </c>
      <c r="B60" s="11" t="e">
        <f ca="1">_xll.QInterp_Interpolate1d($K50,B$53)</f>
        <v>#VALUE!</v>
      </c>
      <c r="C60" s="11" t="e">
        <f ca="1">_xll.QInterp_Interpolate1d($K50,C$53)</f>
        <v>#VALUE!</v>
      </c>
      <c r="D60" s="11" t="e">
        <f ca="1">_xll.QInterp_Interpolate1d($K50,D$53)</f>
        <v>#VALUE!</v>
      </c>
      <c r="E60" s="11" t="e">
        <f ca="1">_xll.QInterp_Interpolate1d($K50,E$53)</f>
        <v>#VALUE!</v>
      </c>
      <c r="F60" s="11" t="e">
        <f ca="1">_xll.QInterp_Interpolate1d($K50,F$53)</f>
        <v>#VALUE!</v>
      </c>
      <c r="H60" s="11" t="e">
        <f t="shared" ca="1" si="17"/>
        <v>#VALUE!</v>
      </c>
      <c r="I60" s="11" t="e">
        <f t="shared" ca="1" si="18"/>
        <v>#VALUE!</v>
      </c>
      <c r="J60" s="11" t="e">
        <f t="shared" ca="1" si="19"/>
        <v>#VALUE!</v>
      </c>
      <c r="K60" s="11" t="e">
        <f t="shared" ca="1" si="20"/>
        <v>#VALUE!</v>
      </c>
      <c r="L60" s="1">
        <f t="shared" ca="1" si="15"/>
        <v>44034</v>
      </c>
      <c r="O60" t="str">
        <v>Could not find cube GridPV</v>
      </c>
      <c r="P60" t="str">
        <v>Could not find cube GridPV</v>
      </c>
      <c r="Q60" s="84" t="str">
        <v>Could not find cube GridPV</v>
      </c>
      <c r="R60" s="57" t="e">
        <f t="shared" si="4"/>
        <v>#VALUE!</v>
      </c>
      <c r="S60" s="57" t="e">
        <f t="shared" si="5"/>
        <v>#VALUE!</v>
      </c>
      <c r="T60" s="57" t="e">
        <f t="shared" si="6"/>
        <v>#VALUE!</v>
      </c>
      <c r="U60" s="84" t="str">
        <f t="shared" si="7"/>
        <v>Could not find cube GridPV</v>
      </c>
    </row>
    <row r="61" spans="1:21" x14ac:dyDescent="0.25">
      <c r="L61" s="126"/>
      <c r="O61" t="str">
        <v>Could not find cube GridPV</v>
      </c>
      <c r="P61" t="str">
        <v>Could not find cube GridPV</v>
      </c>
      <c r="Q61" s="84" t="str">
        <v>Could not find cube GridPV</v>
      </c>
      <c r="R61" s="57" t="e">
        <f t="shared" si="4"/>
        <v>#VALUE!</v>
      </c>
      <c r="S61" s="57" t="e">
        <f t="shared" si="5"/>
        <v>#VALUE!</v>
      </c>
      <c r="T61" s="57" t="e">
        <f t="shared" si="6"/>
        <v>#VALUE!</v>
      </c>
      <c r="U61" s="84" t="str">
        <f t="shared" si="7"/>
        <v>Could not find cube GridPV</v>
      </c>
    </row>
    <row r="62" spans="1:21" x14ac:dyDescent="0.25">
      <c r="O62" t="str">
        <v>Could not find cube GridPV</v>
      </c>
      <c r="P62" t="str">
        <v>Could not find cube GridPV</v>
      </c>
      <c r="Q62" s="84" t="str">
        <v>Could not find cube GridPV</v>
      </c>
      <c r="R62" s="57" t="e">
        <f t="shared" si="4"/>
        <v>#VALUE!</v>
      </c>
      <c r="S62" s="57" t="e">
        <f t="shared" si="5"/>
        <v>#VALUE!</v>
      </c>
      <c r="T62" s="57" t="e">
        <f t="shared" si="6"/>
        <v>#VALUE!</v>
      </c>
      <c r="U62" s="84" t="str">
        <f t="shared" si="7"/>
        <v>Could not find cube GridPV</v>
      </c>
    </row>
    <row r="63" spans="1:21" x14ac:dyDescent="0.25">
      <c r="C63" s="83" t="s">
        <v>129</v>
      </c>
      <c r="O63" t="str">
        <v>Could not find cube GridPV</v>
      </c>
      <c r="P63" t="str">
        <v>Could not find cube GridPV</v>
      </c>
      <c r="Q63" s="84" t="str">
        <v>Could not find cube GridPV</v>
      </c>
      <c r="R63" s="57" t="e">
        <f t="shared" si="4"/>
        <v>#VALUE!</v>
      </c>
      <c r="S63" s="57" t="e">
        <f t="shared" si="5"/>
        <v>#VALUE!</v>
      </c>
      <c r="T63" s="57" t="e">
        <f t="shared" si="6"/>
        <v>#VALUE!</v>
      </c>
      <c r="U63" s="84" t="str">
        <f t="shared" si="7"/>
        <v>Could not find cube GridPV</v>
      </c>
    </row>
    <row r="64" spans="1:21" x14ac:dyDescent="0.25">
      <c r="O64" t="str">
        <v>Could not find cube GridPV</v>
      </c>
      <c r="P64" t="str">
        <v>Could not find cube GridPV</v>
      </c>
      <c r="Q64" s="84" t="str">
        <v>Could not find cube GridPV</v>
      </c>
      <c r="R64" s="57" t="e">
        <f t="shared" si="4"/>
        <v>#VALUE!</v>
      </c>
      <c r="S64" s="57" t="e">
        <f t="shared" si="5"/>
        <v>#VALUE!</v>
      </c>
      <c r="T64" s="57" t="e">
        <f t="shared" si="6"/>
        <v>#VALUE!</v>
      </c>
      <c r="U64" s="84" t="str">
        <f t="shared" si="7"/>
        <v>Could not find cube GridPV</v>
      </c>
    </row>
    <row r="65" spans="3:21" x14ac:dyDescent="0.25">
      <c r="C65" t="str">
        <f t="array" ref="C65:H79">_xll.QVol_SurfaceToQuotes(C63)</f>
        <v>Vol surface =QVol_GenerateCompoSurface("CompoQuick",MetalCurves!AM21,"XAU","USD/ZAR",O1,200) not found</v>
      </c>
      <c r="D65" t="str">
        <v>Vol surface =QVol_GenerateCompoSurface("CompoQuick",MetalCurves!AM21,"XAU","USD/ZAR",O1,200) not found</v>
      </c>
      <c r="E65" t="str">
        <v>Vol surface =QVol_GenerateCompoSurface("CompoQuick",MetalCurves!AM21,"XAU","USD/ZAR",O1,200) not found</v>
      </c>
      <c r="F65" t="str">
        <v>Vol surface =QVol_GenerateCompoSurface("CompoQuick",MetalCurves!AM21,"XAU","USD/ZAR",O1,200) not found</v>
      </c>
      <c r="G65" t="str">
        <v>Vol surface =QVol_GenerateCompoSurface("CompoQuick",MetalCurves!AM21,"XAU","USD/ZAR",O1,200) not found</v>
      </c>
      <c r="H65" t="str">
        <v>Vol surface =QVol_GenerateCompoSurface("CompoQuick",MetalCurves!AM21,"XAU","USD/ZAR",O1,200) not found</v>
      </c>
      <c r="O65" t="str">
        <v>Could not find cube GridPV</v>
      </c>
      <c r="P65" t="str">
        <v>Could not find cube GridPV</v>
      </c>
      <c r="Q65" s="84" t="str">
        <v>Could not find cube GridPV</v>
      </c>
      <c r="R65" s="57" t="e">
        <f t="shared" si="4"/>
        <v>#VALUE!</v>
      </c>
      <c r="S65" s="57" t="e">
        <f t="shared" si="5"/>
        <v>#VALUE!</v>
      </c>
      <c r="T65" s="57" t="e">
        <f t="shared" si="6"/>
        <v>#VALUE!</v>
      </c>
      <c r="U65" s="84" t="str">
        <f t="shared" si="7"/>
        <v>Could not find cube GridPV</v>
      </c>
    </row>
    <row r="66" spans="3:21" x14ac:dyDescent="0.25">
      <c r="C66" s="1" t="str">
        <v>Vol surface =QVol_GenerateCompoSurface("CompoQuick",MetalCurves!AM21,"XAU","USD/ZAR",O1,200) not found</v>
      </c>
      <c r="D66" s="11" t="str">
        <v>Vol surface =QVol_GenerateCompoSurface("CompoQuick",MetalCurves!AM21,"XAU","USD/ZAR",O1,200) not found</v>
      </c>
      <c r="E66" s="11" t="str">
        <v>Vol surface =QVol_GenerateCompoSurface("CompoQuick",MetalCurves!AM21,"XAU","USD/ZAR",O1,200) not found</v>
      </c>
      <c r="F66" s="11" t="str">
        <v>Vol surface =QVol_GenerateCompoSurface("CompoQuick",MetalCurves!AM21,"XAU","USD/ZAR",O1,200) not found</v>
      </c>
      <c r="G66" s="11" t="str">
        <v>Vol surface =QVol_GenerateCompoSurface("CompoQuick",MetalCurves!AM21,"XAU","USD/ZAR",O1,200) not found</v>
      </c>
      <c r="H66" s="11" t="str">
        <v>Vol surface =QVol_GenerateCompoSurface("CompoQuick",MetalCurves!AM21,"XAU","USD/ZAR",O1,200) not found</v>
      </c>
      <c r="O66" t="str">
        <v>Could not find cube GridPV</v>
      </c>
      <c r="P66" t="str">
        <v>Could not find cube GridPV</v>
      </c>
      <c r="Q66" s="84" t="str">
        <v>Could not find cube GridPV</v>
      </c>
      <c r="R66" s="57" t="e">
        <f t="shared" si="4"/>
        <v>#VALUE!</v>
      </c>
      <c r="S66" s="57" t="e">
        <f t="shared" si="5"/>
        <v>#VALUE!</v>
      </c>
      <c r="T66" s="57" t="e">
        <f t="shared" si="6"/>
        <v>#VALUE!</v>
      </c>
      <c r="U66" s="84" t="str">
        <f t="shared" si="7"/>
        <v>Could not find cube GridPV</v>
      </c>
    </row>
    <row r="67" spans="3:21" x14ac:dyDescent="0.25">
      <c r="C67" s="1" t="str">
        <v>Vol surface =QVol_GenerateCompoSurface("CompoQuick",MetalCurves!AM21,"XAU","USD/ZAR",O1,200) not found</v>
      </c>
      <c r="D67" s="11" t="str">
        <v>Vol surface =QVol_GenerateCompoSurface("CompoQuick",MetalCurves!AM21,"XAU","USD/ZAR",O1,200) not found</v>
      </c>
      <c r="E67" s="11" t="str">
        <v>Vol surface =QVol_GenerateCompoSurface("CompoQuick",MetalCurves!AM21,"XAU","USD/ZAR",O1,200) not found</v>
      </c>
      <c r="F67" s="11" t="str">
        <v>Vol surface =QVol_GenerateCompoSurface("CompoQuick",MetalCurves!AM21,"XAU","USD/ZAR",O1,200) not found</v>
      </c>
      <c r="G67" s="11" t="str">
        <v>Vol surface =QVol_GenerateCompoSurface("CompoQuick",MetalCurves!AM21,"XAU","USD/ZAR",O1,200) not found</v>
      </c>
      <c r="H67" s="11" t="str">
        <v>Vol surface =QVol_GenerateCompoSurface("CompoQuick",MetalCurves!AM21,"XAU","USD/ZAR",O1,200) not found</v>
      </c>
      <c r="O67" t="str">
        <v>Could not find cube GridPV</v>
      </c>
      <c r="P67" t="str">
        <v>Could not find cube GridPV</v>
      </c>
      <c r="Q67" s="84" t="str">
        <v>Could not find cube GridPV</v>
      </c>
      <c r="R67" s="57" t="e">
        <f t="shared" si="4"/>
        <v>#VALUE!</v>
      </c>
      <c r="S67" s="57" t="e">
        <f t="shared" si="5"/>
        <v>#VALUE!</v>
      </c>
      <c r="T67" s="57" t="e">
        <f t="shared" si="6"/>
        <v>#VALUE!</v>
      </c>
      <c r="U67" s="84" t="str">
        <f t="shared" si="7"/>
        <v>Could not find cube GridPV</v>
      </c>
    </row>
    <row r="68" spans="3:21" x14ac:dyDescent="0.25">
      <c r="C68" s="1" t="str">
        <v>Vol surface =QVol_GenerateCompoSurface("CompoQuick",MetalCurves!AM21,"XAU","USD/ZAR",O1,200) not found</v>
      </c>
      <c r="D68" s="11" t="str">
        <v>Vol surface =QVol_GenerateCompoSurface("CompoQuick",MetalCurves!AM21,"XAU","USD/ZAR",O1,200) not found</v>
      </c>
      <c r="E68" s="11" t="str">
        <v>Vol surface =QVol_GenerateCompoSurface("CompoQuick",MetalCurves!AM21,"XAU","USD/ZAR",O1,200) not found</v>
      </c>
      <c r="F68" s="11" t="str">
        <v>Vol surface =QVol_GenerateCompoSurface("CompoQuick",MetalCurves!AM21,"XAU","USD/ZAR",O1,200) not found</v>
      </c>
      <c r="G68" s="11" t="str">
        <v>Vol surface =QVol_GenerateCompoSurface("CompoQuick",MetalCurves!AM21,"XAU","USD/ZAR",O1,200) not found</v>
      </c>
      <c r="H68" s="11" t="str">
        <v>Vol surface =QVol_GenerateCompoSurface("CompoQuick",MetalCurves!AM21,"XAU","USD/ZAR",O1,200) not found</v>
      </c>
      <c r="O68" t="str">
        <v>Could not find cube GridPV</v>
      </c>
      <c r="P68" t="str">
        <v>Could not find cube GridPV</v>
      </c>
      <c r="Q68" s="84" t="str">
        <v>Could not find cube GridPV</v>
      </c>
      <c r="R68" s="57" t="e">
        <f t="shared" si="4"/>
        <v>#VALUE!</v>
      </c>
      <c r="S68" s="57" t="e">
        <f t="shared" si="5"/>
        <v>#VALUE!</v>
      </c>
      <c r="T68" s="57" t="e">
        <f t="shared" si="6"/>
        <v>#VALUE!</v>
      </c>
      <c r="U68" s="84" t="str">
        <f t="shared" si="7"/>
        <v>Could not find cube GridPV</v>
      </c>
    </row>
    <row r="69" spans="3:21" x14ac:dyDescent="0.25">
      <c r="C69" s="1" t="str">
        <v>Vol surface =QVol_GenerateCompoSurface("CompoQuick",MetalCurves!AM21,"XAU","USD/ZAR",O1,200) not found</v>
      </c>
      <c r="D69" s="11" t="str">
        <v>Vol surface =QVol_GenerateCompoSurface("CompoQuick",MetalCurves!AM21,"XAU","USD/ZAR",O1,200) not found</v>
      </c>
      <c r="E69" s="11" t="str">
        <v>Vol surface =QVol_GenerateCompoSurface("CompoQuick",MetalCurves!AM21,"XAU","USD/ZAR",O1,200) not found</v>
      </c>
      <c r="F69" s="11" t="str">
        <v>Vol surface =QVol_GenerateCompoSurface("CompoQuick",MetalCurves!AM21,"XAU","USD/ZAR",O1,200) not found</v>
      </c>
      <c r="G69" s="11" t="str">
        <v>Vol surface =QVol_GenerateCompoSurface("CompoQuick",MetalCurves!AM21,"XAU","USD/ZAR",O1,200) not found</v>
      </c>
      <c r="H69" s="11" t="str">
        <v>Vol surface =QVol_GenerateCompoSurface("CompoQuick",MetalCurves!AM21,"XAU","USD/ZAR",O1,200) not found</v>
      </c>
      <c r="O69" t="str">
        <v>Could not find cube GridPV</v>
      </c>
      <c r="P69" t="str">
        <v>Could not find cube GridPV</v>
      </c>
      <c r="Q69" s="84" t="str">
        <v>Could not find cube GridPV</v>
      </c>
      <c r="R69" s="57" t="e">
        <f t="shared" si="4"/>
        <v>#VALUE!</v>
      </c>
      <c r="S69" s="57" t="e">
        <f t="shared" si="5"/>
        <v>#VALUE!</v>
      </c>
      <c r="T69" s="57" t="e">
        <f t="shared" si="6"/>
        <v>#VALUE!</v>
      </c>
      <c r="U69" s="84" t="str">
        <f t="shared" si="7"/>
        <v>Could not find cube GridPV</v>
      </c>
    </row>
    <row r="70" spans="3:21" x14ac:dyDescent="0.25">
      <c r="C70" s="1" t="str">
        <v>Vol surface =QVol_GenerateCompoSurface("CompoQuick",MetalCurves!AM21,"XAU","USD/ZAR",O1,200) not found</v>
      </c>
      <c r="D70" s="11" t="str">
        <v>Vol surface =QVol_GenerateCompoSurface("CompoQuick",MetalCurves!AM21,"XAU","USD/ZAR",O1,200) not found</v>
      </c>
      <c r="E70" s="11" t="str">
        <v>Vol surface =QVol_GenerateCompoSurface("CompoQuick",MetalCurves!AM21,"XAU","USD/ZAR",O1,200) not found</v>
      </c>
      <c r="F70" s="11" t="str">
        <v>Vol surface =QVol_GenerateCompoSurface("CompoQuick",MetalCurves!AM21,"XAU","USD/ZAR",O1,200) not found</v>
      </c>
      <c r="G70" s="11" t="str">
        <v>Vol surface =QVol_GenerateCompoSurface("CompoQuick",MetalCurves!AM21,"XAU","USD/ZAR",O1,200) not found</v>
      </c>
      <c r="H70" s="11" t="str">
        <v>Vol surface =QVol_GenerateCompoSurface("CompoQuick",MetalCurves!AM21,"XAU","USD/ZAR",O1,200) not found</v>
      </c>
      <c r="O70" t="str">
        <v>Could not find cube GridPV</v>
      </c>
      <c r="P70" t="str">
        <v>Could not find cube GridPV</v>
      </c>
      <c r="Q70" s="84" t="str">
        <v>Could not find cube GridPV</v>
      </c>
      <c r="R70" s="57" t="e">
        <f t="shared" si="4"/>
        <v>#VALUE!</v>
      </c>
      <c r="S70" s="57" t="e">
        <f t="shared" si="5"/>
        <v>#VALUE!</v>
      </c>
      <c r="T70" s="57" t="e">
        <f t="shared" si="6"/>
        <v>#VALUE!</v>
      </c>
      <c r="U70" s="84" t="str">
        <f t="shared" si="7"/>
        <v>Could not find cube GridPV</v>
      </c>
    </row>
    <row r="71" spans="3:21" x14ac:dyDescent="0.25">
      <c r="C71" s="1" t="str">
        <v>Vol surface =QVol_GenerateCompoSurface("CompoQuick",MetalCurves!AM21,"XAU","USD/ZAR",O1,200) not found</v>
      </c>
      <c r="D71" s="11" t="str">
        <v>Vol surface =QVol_GenerateCompoSurface("CompoQuick",MetalCurves!AM21,"XAU","USD/ZAR",O1,200) not found</v>
      </c>
      <c r="E71" s="11" t="str">
        <v>Vol surface =QVol_GenerateCompoSurface("CompoQuick",MetalCurves!AM21,"XAU","USD/ZAR",O1,200) not found</v>
      </c>
      <c r="F71" s="11" t="str">
        <v>Vol surface =QVol_GenerateCompoSurface("CompoQuick",MetalCurves!AM21,"XAU","USD/ZAR",O1,200) not found</v>
      </c>
      <c r="G71" s="11" t="str">
        <v>Vol surface =QVol_GenerateCompoSurface("CompoQuick",MetalCurves!AM21,"XAU","USD/ZAR",O1,200) not found</v>
      </c>
      <c r="H71" s="11" t="str">
        <v>Vol surface =QVol_GenerateCompoSurface("CompoQuick",MetalCurves!AM21,"XAU","USD/ZAR",O1,200) not found</v>
      </c>
      <c r="O71" t="str">
        <v>Could not find cube GridPV</v>
      </c>
      <c r="P71" t="str">
        <v>Could not find cube GridPV</v>
      </c>
      <c r="Q71" s="84" t="str">
        <v>Could not find cube GridPV</v>
      </c>
      <c r="R71" s="57" t="e">
        <f t="shared" si="4"/>
        <v>#VALUE!</v>
      </c>
      <c r="S71" s="57" t="e">
        <f t="shared" si="5"/>
        <v>#VALUE!</v>
      </c>
      <c r="T71" s="57" t="e">
        <f t="shared" si="6"/>
        <v>#VALUE!</v>
      </c>
      <c r="U71" s="84" t="str">
        <f t="shared" si="7"/>
        <v>Could not find cube GridPV</v>
      </c>
    </row>
    <row r="72" spans="3:21" x14ac:dyDescent="0.25">
      <c r="C72" s="1" t="str">
        <v>Vol surface =QVol_GenerateCompoSurface("CompoQuick",MetalCurves!AM21,"XAU","USD/ZAR",O1,200) not found</v>
      </c>
      <c r="D72" s="11" t="str">
        <v>Vol surface =QVol_GenerateCompoSurface("CompoQuick",MetalCurves!AM21,"XAU","USD/ZAR",O1,200) not found</v>
      </c>
      <c r="E72" s="11" t="str">
        <v>Vol surface =QVol_GenerateCompoSurface("CompoQuick",MetalCurves!AM21,"XAU","USD/ZAR",O1,200) not found</v>
      </c>
      <c r="F72" s="11" t="str">
        <v>Vol surface =QVol_GenerateCompoSurface("CompoQuick",MetalCurves!AM21,"XAU","USD/ZAR",O1,200) not found</v>
      </c>
      <c r="G72" s="11" t="str">
        <v>Vol surface =QVol_GenerateCompoSurface("CompoQuick",MetalCurves!AM21,"XAU","USD/ZAR",O1,200) not found</v>
      </c>
      <c r="H72" s="11" t="str">
        <v>Vol surface =QVol_GenerateCompoSurface("CompoQuick",MetalCurves!AM21,"XAU","USD/ZAR",O1,200) not found</v>
      </c>
      <c r="O72" t="str">
        <v>Could not find cube GridPV</v>
      </c>
      <c r="P72" t="str">
        <v>Could not find cube GridPV</v>
      </c>
      <c r="Q72" s="84" t="str">
        <v>Could not find cube GridPV</v>
      </c>
      <c r="R72" s="57" t="e">
        <f t="shared" si="4"/>
        <v>#VALUE!</v>
      </c>
      <c r="S72" s="57" t="e">
        <f t="shared" si="5"/>
        <v>#VALUE!</v>
      </c>
      <c r="T72" s="57" t="e">
        <f t="shared" si="6"/>
        <v>#VALUE!</v>
      </c>
      <c r="U72" s="84" t="str">
        <f t="shared" si="7"/>
        <v>Could not find cube GridPV</v>
      </c>
    </row>
    <row r="73" spans="3:21" x14ac:dyDescent="0.25">
      <c r="C73" s="1" t="str">
        <v>Vol surface =QVol_GenerateCompoSurface("CompoQuick",MetalCurves!AM21,"XAU","USD/ZAR",O1,200) not found</v>
      </c>
      <c r="D73" s="11" t="str">
        <v>Vol surface =QVol_GenerateCompoSurface("CompoQuick",MetalCurves!AM21,"XAU","USD/ZAR",O1,200) not found</v>
      </c>
      <c r="E73" s="11" t="str">
        <v>Vol surface =QVol_GenerateCompoSurface("CompoQuick",MetalCurves!AM21,"XAU","USD/ZAR",O1,200) not found</v>
      </c>
      <c r="F73" s="11" t="str">
        <v>Vol surface =QVol_GenerateCompoSurface("CompoQuick",MetalCurves!AM21,"XAU","USD/ZAR",O1,200) not found</v>
      </c>
      <c r="G73" s="11" t="str">
        <v>Vol surface =QVol_GenerateCompoSurface("CompoQuick",MetalCurves!AM21,"XAU","USD/ZAR",O1,200) not found</v>
      </c>
      <c r="H73" s="11" t="str">
        <v>Vol surface =QVol_GenerateCompoSurface("CompoQuick",MetalCurves!AM21,"XAU","USD/ZAR",O1,200) not found</v>
      </c>
      <c r="O73" t="str">
        <v>Could not find cube GridPV</v>
      </c>
      <c r="P73" t="str">
        <v>Could not find cube GridPV</v>
      </c>
      <c r="Q73" s="84" t="str">
        <v>Could not find cube GridPV</v>
      </c>
      <c r="R73" s="57" t="e">
        <f t="shared" si="4"/>
        <v>#VALUE!</v>
      </c>
      <c r="S73" s="57" t="e">
        <f t="shared" si="5"/>
        <v>#VALUE!</v>
      </c>
      <c r="T73" s="57" t="e">
        <f t="shared" si="6"/>
        <v>#VALUE!</v>
      </c>
      <c r="U73" s="84" t="str">
        <f t="shared" si="7"/>
        <v>Could not find cube GridPV</v>
      </c>
    </row>
    <row r="74" spans="3:21" x14ac:dyDescent="0.25">
      <c r="C74" s="1" t="str">
        <v>Vol surface =QVol_GenerateCompoSurface("CompoQuick",MetalCurves!AM21,"XAU","USD/ZAR",O1,200) not found</v>
      </c>
      <c r="D74" s="11" t="str">
        <v>Vol surface =QVol_GenerateCompoSurface("CompoQuick",MetalCurves!AM21,"XAU","USD/ZAR",O1,200) not found</v>
      </c>
      <c r="E74" s="11" t="str">
        <v>Vol surface =QVol_GenerateCompoSurface("CompoQuick",MetalCurves!AM21,"XAU","USD/ZAR",O1,200) not found</v>
      </c>
      <c r="F74" s="11" t="str">
        <v>Vol surface =QVol_GenerateCompoSurface("CompoQuick",MetalCurves!AM21,"XAU","USD/ZAR",O1,200) not found</v>
      </c>
      <c r="G74" s="11" t="str">
        <v>Vol surface =QVol_GenerateCompoSurface("CompoQuick",MetalCurves!AM21,"XAU","USD/ZAR",O1,200) not found</v>
      </c>
      <c r="H74" s="11" t="str">
        <v>Vol surface =QVol_GenerateCompoSurface("CompoQuick",MetalCurves!AM21,"XAU","USD/ZAR",O1,200) not found</v>
      </c>
      <c r="O74" t="str">
        <v>Could not find cube GridPV</v>
      </c>
      <c r="P74" t="str">
        <v>Could not find cube GridPV</v>
      </c>
      <c r="Q74" s="84" t="str">
        <v>Could not find cube GridPV</v>
      </c>
      <c r="R74" s="57" t="e">
        <f t="shared" si="4"/>
        <v>#VALUE!</v>
      </c>
      <c r="S74" s="57" t="e">
        <f t="shared" si="5"/>
        <v>#VALUE!</v>
      </c>
      <c r="T74" s="57" t="e">
        <f t="shared" si="6"/>
        <v>#VALUE!</v>
      </c>
      <c r="U74" s="84" t="str">
        <f t="shared" si="7"/>
        <v>Could not find cube GridPV</v>
      </c>
    </row>
    <row r="75" spans="3:21" x14ac:dyDescent="0.25">
      <c r="C75" s="1" t="str">
        <v>Vol surface =QVol_GenerateCompoSurface("CompoQuick",MetalCurves!AM21,"XAU","USD/ZAR",O1,200) not found</v>
      </c>
      <c r="D75" s="11" t="str">
        <v>Vol surface =QVol_GenerateCompoSurface("CompoQuick",MetalCurves!AM21,"XAU","USD/ZAR",O1,200) not found</v>
      </c>
      <c r="E75" s="11" t="str">
        <v>Vol surface =QVol_GenerateCompoSurface("CompoQuick",MetalCurves!AM21,"XAU","USD/ZAR",O1,200) not found</v>
      </c>
      <c r="F75" s="11" t="str">
        <v>Vol surface =QVol_GenerateCompoSurface("CompoQuick",MetalCurves!AM21,"XAU","USD/ZAR",O1,200) not found</v>
      </c>
      <c r="G75" s="11" t="str">
        <v>Vol surface =QVol_GenerateCompoSurface("CompoQuick",MetalCurves!AM21,"XAU","USD/ZAR",O1,200) not found</v>
      </c>
      <c r="H75" s="11" t="str">
        <v>Vol surface =QVol_GenerateCompoSurface("CompoQuick",MetalCurves!AM21,"XAU","USD/ZAR",O1,200) not found</v>
      </c>
      <c r="O75" t="str">
        <v>Could not find cube GridPV</v>
      </c>
      <c r="P75" t="str">
        <v>Could not find cube GridPV</v>
      </c>
      <c r="Q75" s="84" t="str">
        <v>Could not find cube GridPV</v>
      </c>
      <c r="R75" s="57" t="e">
        <f t="shared" si="4"/>
        <v>#VALUE!</v>
      </c>
      <c r="S75" s="57" t="e">
        <f t="shared" si="5"/>
        <v>#VALUE!</v>
      </c>
      <c r="T75" s="57" t="e">
        <f t="shared" si="6"/>
        <v>#VALUE!</v>
      </c>
      <c r="U75" s="84" t="str">
        <f t="shared" si="7"/>
        <v>Could not find cube GridPV</v>
      </c>
    </row>
    <row r="76" spans="3:21" x14ac:dyDescent="0.25">
      <c r="C76" s="1" t="str">
        <v>Vol surface =QVol_GenerateCompoSurface("CompoQuick",MetalCurves!AM21,"XAU","USD/ZAR",O1,200) not found</v>
      </c>
      <c r="D76" s="11" t="str">
        <v>Vol surface =QVol_GenerateCompoSurface("CompoQuick",MetalCurves!AM21,"XAU","USD/ZAR",O1,200) not found</v>
      </c>
      <c r="E76" s="11" t="str">
        <v>Vol surface =QVol_GenerateCompoSurface("CompoQuick",MetalCurves!AM21,"XAU","USD/ZAR",O1,200) not found</v>
      </c>
      <c r="F76" s="11" t="str">
        <v>Vol surface =QVol_GenerateCompoSurface("CompoQuick",MetalCurves!AM21,"XAU","USD/ZAR",O1,200) not found</v>
      </c>
      <c r="G76" s="11" t="str">
        <v>Vol surface =QVol_GenerateCompoSurface("CompoQuick",MetalCurves!AM21,"XAU","USD/ZAR",O1,200) not found</v>
      </c>
      <c r="H76" s="11" t="str">
        <v>Vol surface =QVol_GenerateCompoSurface("CompoQuick",MetalCurves!AM21,"XAU","USD/ZAR",O1,200) not found</v>
      </c>
      <c r="O76" t="str">
        <v>Could not find cube GridPV</v>
      </c>
      <c r="P76" t="str">
        <v>Could not find cube GridPV</v>
      </c>
      <c r="Q76" s="84" t="str">
        <v>Could not find cube GridPV</v>
      </c>
      <c r="R76" s="57" t="e">
        <f t="shared" si="4"/>
        <v>#VALUE!</v>
      </c>
      <c r="S76" s="57" t="e">
        <f t="shared" si="5"/>
        <v>#VALUE!</v>
      </c>
      <c r="T76" s="57" t="e">
        <f t="shared" si="6"/>
        <v>#VALUE!</v>
      </c>
      <c r="U76" s="84" t="str">
        <f t="shared" si="7"/>
        <v>Could not find cube GridPV</v>
      </c>
    </row>
    <row r="77" spans="3:21" x14ac:dyDescent="0.25">
      <c r="C77" s="1" t="str">
        <v>Vol surface =QVol_GenerateCompoSurface("CompoQuick",MetalCurves!AM21,"XAU","USD/ZAR",O1,200) not found</v>
      </c>
      <c r="D77" s="11" t="str">
        <v>Vol surface =QVol_GenerateCompoSurface("CompoQuick",MetalCurves!AM21,"XAU","USD/ZAR",O1,200) not found</v>
      </c>
      <c r="E77" s="11" t="str">
        <v>Vol surface =QVol_GenerateCompoSurface("CompoQuick",MetalCurves!AM21,"XAU","USD/ZAR",O1,200) not found</v>
      </c>
      <c r="F77" s="11" t="str">
        <v>Vol surface =QVol_GenerateCompoSurface("CompoQuick",MetalCurves!AM21,"XAU","USD/ZAR",O1,200) not found</v>
      </c>
      <c r="G77" s="11" t="str">
        <v>Vol surface =QVol_GenerateCompoSurface("CompoQuick",MetalCurves!AM21,"XAU","USD/ZAR",O1,200) not found</v>
      </c>
      <c r="H77" s="11" t="str">
        <v>Vol surface =QVol_GenerateCompoSurface("CompoQuick",MetalCurves!AM21,"XAU","USD/ZAR",O1,200) not found</v>
      </c>
      <c r="O77" t="str">
        <v>Could not find cube GridPV</v>
      </c>
      <c r="P77" t="str">
        <v>Could not find cube GridPV</v>
      </c>
      <c r="Q77" s="84" t="str">
        <v>Could not find cube GridPV</v>
      </c>
      <c r="R77" s="57" t="e">
        <f t="shared" si="4"/>
        <v>#VALUE!</v>
      </c>
      <c r="S77" s="57" t="e">
        <f t="shared" si="5"/>
        <v>#VALUE!</v>
      </c>
      <c r="T77" s="57" t="e">
        <f t="shared" si="6"/>
        <v>#VALUE!</v>
      </c>
      <c r="U77" s="84" t="str">
        <f t="shared" si="7"/>
        <v>Could not find cube GridPV</v>
      </c>
    </row>
    <row r="78" spans="3:21" x14ac:dyDescent="0.25">
      <c r="C78" s="1" t="str">
        <v>Vol surface =QVol_GenerateCompoSurface("CompoQuick",MetalCurves!AM21,"XAU","USD/ZAR",O1,200) not found</v>
      </c>
      <c r="D78" t="str">
        <v>Vol surface =QVol_GenerateCompoSurface("CompoQuick",MetalCurves!AM21,"XAU","USD/ZAR",O1,200) not found</v>
      </c>
      <c r="E78" t="str">
        <v>Vol surface =QVol_GenerateCompoSurface("CompoQuick",MetalCurves!AM21,"XAU","USD/ZAR",O1,200) not found</v>
      </c>
      <c r="F78" t="str">
        <v>Vol surface =QVol_GenerateCompoSurface("CompoQuick",MetalCurves!AM21,"XAU","USD/ZAR",O1,200) not found</v>
      </c>
      <c r="G78" t="str">
        <v>Vol surface =QVol_GenerateCompoSurface("CompoQuick",MetalCurves!AM21,"XAU","USD/ZAR",O1,200) not found</v>
      </c>
      <c r="H78" t="str">
        <v>Vol surface =QVol_GenerateCompoSurface("CompoQuick",MetalCurves!AM21,"XAU","USD/ZAR",O1,200) not found</v>
      </c>
      <c r="O78" t="str">
        <v>Could not find cube GridPV</v>
      </c>
      <c r="P78" t="str">
        <v>Could not find cube GridPV</v>
      </c>
      <c r="Q78" s="84" t="str">
        <v>Could not find cube GridPV</v>
      </c>
      <c r="R78" s="57" t="e">
        <f t="shared" si="4"/>
        <v>#VALUE!</v>
      </c>
      <c r="S78" s="57" t="e">
        <f t="shared" si="5"/>
        <v>#VALUE!</v>
      </c>
      <c r="T78" s="57" t="e">
        <f t="shared" si="6"/>
        <v>#VALUE!</v>
      </c>
      <c r="U78" s="84" t="str">
        <f t="shared" si="7"/>
        <v>Could not find cube GridPV</v>
      </c>
    </row>
    <row r="79" spans="3:21" x14ac:dyDescent="0.25">
      <c r="C79" t="str">
        <v>Vol surface =QVol_GenerateCompoSurface("CompoQuick",MetalCurves!AM21,"XAU","USD/ZAR",O1,200) not found</v>
      </c>
      <c r="D79" t="str">
        <v>Vol surface =QVol_GenerateCompoSurface("CompoQuick",MetalCurves!AM21,"XAU","USD/ZAR",O1,200) not found</v>
      </c>
      <c r="E79" t="str">
        <v>Vol surface =QVol_GenerateCompoSurface("CompoQuick",MetalCurves!AM21,"XAU","USD/ZAR",O1,200) not found</v>
      </c>
      <c r="F79" t="str">
        <v>Vol surface =QVol_GenerateCompoSurface("CompoQuick",MetalCurves!AM21,"XAU","USD/ZAR",O1,200) not found</v>
      </c>
      <c r="G79" t="str">
        <v>Vol surface =QVol_GenerateCompoSurface("CompoQuick",MetalCurves!AM21,"XAU","USD/ZAR",O1,200) not found</v>
      </c>
      <c r="H79" t="str">
        <v>Vol surface =QVol_GenerateCompoSurface("CompoQuick",MetalCurves!AM21,"XAU","USD/ZAR",O1,200) not found</v>
      </c>
      <c r="O79" t="str">
        <v>Could not find cube GridPV</v>
      </c>
      <c r="P79" t="str">
        <v>Could not find cube GridPV</v>
      </c>
      <c r="Q79" s="84" t="str">
        <v>Could not find cube GridPV</v>
      </c>
      <c r="R79" s="57" t="e">
        <f t="shared" si="4"/>
        <v>#VALUE!</v>
      </c>
      <c r="S79" s="57" t="e">
        <f t="shared" si="5"/>
        <v>#VALUE!</v>
      </c>
      <c r="T79" s="57" t="e">
        <f t="shared" si="6"/>
        <v>#VALUE!</v>
      </c>
      <c r="U79" s="84" t="str">
        <f t="shared" si="7"/>
        <v>Could not find cube GridPV</v>
      </c>
    </row>
    <row r="80" spans="3:21" x14ac:dyDescent="0.25">
      <c r="O80" t="str">
        <v>Could not find cube GridPV</v>
      </c>
      <c r="P80" t="str">
        <v>Could not find cube GridPV</v>
      </c>
      <c r="Q80" s="84" t="str">
        <v>Could not find cube GridPV</v>
      </c>
      <c r="R80" s="57" t="e">
        <f t="shared" si="4"/>
        <v>#VALUE!</v>
      </c>
      <c r="S80" s="57" t="e">
        <f t="shared" si="5"/>
        <v>#VALUE!</v>
      </c>
      <c r="T80" s="57" t="e">
        <f t="shared" si="6"/>
        <v>#VALUE!</v>
      </c>
      <c r="U80" s="84" t="str">
        <f t="shared" si="7"/>
        <v>Could not find cube GridPV</v>
      </c>
    </row>
    <row r="81" spans="15:21" x14ac:dyDescent="0.25">
      <c r="O81" t="str">
        <v>Could not find cube GridPV</v>
      </c>
      <c r="P81" t="str">
        <v>Could not find cube GridPV</v>
      </c>
      <c r="Q81" s="84" t="str">
        <v>Could not find cube GridPV</v>
      </c>
      <c r="R81" s="57" t="e">
        <f t="shared" si="4"/>
        <v>#VALUE!</v>
      </c>
      <c r="S81" s="57" t="e">
        <f t="shared" si="5"/>
        <v>#VALUE!</v>
      </c>
      <c r="T81" s="57" t="e">
        <f t="shared" si="6"/>
        <v>#VALUE!</v>
      </c>
      <c r="U81" s="84" t="str">
        <f t="shared" si="7"/>
        <v>Could not find cube GridPV</v>
      </c>
    </row>
    <row r="82" spans="15:21" x14ac:dyDescent="0.25">
      <c r="O82" t="str">
        <v>Could not find cube GridPV</v>
      </c>
      <c r="P82" t="str">
        <v>Could not find cube GridPV</v>
      </c>
      <c r="Q82" s="84" t="str">
        <v>Could not find cube GridPV</v>
      </c>
      <c r="R82" s="57" t="e">
        <f t="shared" ref="R82:R145" si="21">LEFT(O82,FIND("~",O82)-1)</f>
        <v>#VALUE!</v>
      </c>
      <c r="S82" s="57" t="e">
        <f t="shared" ref="S82:S145" si="22">MID(O82,FIND("~",O82)+1,10)</f>
        <v>#VALUE!</v>
      </c>
      <c r="T82" s="57" t="e">
        <f t="shared" ref="T82:T145" si="23">R82&amp;S82</f>
        <v>#VALUE!</v>
      </c>
      <c r="U82" s="84" t="str">
        <f t="shared" ref="U82:U145" si="24">Q82</f>
        <v>Could not find cube GridPV</v>
      </c>
    </row>
    <row r="83" spans="15:21" x14ac:dyDescent="0.25">
      <c r="O83" t="str">
        <v>Could not find cube GridPV</v>
      </c>
      <c r="P83" t="str">
        <v>Could not find cube GridPV</v>
      </c>
      <c r="Q83" s="84" t="str">
        <v>Could not find cube GridPV</v>
      </c>
      <c r="R83" s="57" t="e">
        <f t="shared" si="21"/>
        <v>#VALUE!</v>
      </c>
      <c r="S83" s="57" t="e">
        <f t="shared" si="22"/>
        <v>#VALUE!</v>
      </c>
      <c r="T83" s="57" t="e">
        <f t="shared" si="23"/>
        <v>#VALUE!</v>
      </c>
      <c r="U83" s="84" t="str">
        <f t="shared" si="24"/>
        <v>Could not find cube GridPV</v>
      </c>
    </row>
    <row r="84" spans="15:21" x14ac:dyDescent="0.25">
      <c r="O84" t="str">
        <v>Could not find cube GridPV</v>
      </c>
      <c r="P84" t="str">
        <v>Could not find cube GridPV</v>
      </c>
      <c r="Q84" s="84" t="str">
        <v>Could not find cube GridPV</v>
      </c>
      <c r="R84" s="57" t="e">
        <f t="shared" si="21"/>
        <v>#VALUE!</v>
      </c>
      <c r="S84" s="57" t="e">
        <f t="shared" si="22"/>
        <v>#VALUE!</v>
      </c>
      <c r="T84" s="57" t="e">
        <f t="shared" si="23"/>
        <v>#VALUE!</v>
      </c>
      <c r="U84" s="84" t="str">
        <f t="shared" si="24"/>
        <v>Could not find cube GridPV</v>
      </c>
    </row>
    <row r="85" spans="15:21" x14ac:dyDescent="0.25">
      <c r="O85" t="str">
        <v>Could not find cube GridPV</v>
      </c>
      <c r="P85" t="str">
        <v>Could not find cube GridPV</v>
      </c>
      <c r="Q85" s="84" t="str">
        <v>Could not find cube GridPV</v>
      </c>
      <c r="R85" s="57" t="e">
        <f t="shared" si="21"/>
        <v>#VALUE!</v>
      </c>
      <c r="S85" s="57" t="e">
        <f t="shared" si="22"/>
        <v>#VALUE!</v>
      </c>
      <c r="T85" s="57" t="e">
        <f t="shared" si="23"/>
        <v>#VALUE!</v>
      </c>
      <c r="U85" s="84" t="str">
        <f t="shared" si="24"/>
        <v>Could not find cube GridPV</v>
      </c>
    </row>
    <row r="86" spans="15:21" x14ac:dyDescent="0.25">
      <c r="O86" t="str">
        <v>Could not find cube GridPV</v>
      </c>
      <c r="P86" t="str">
        <v>Could not find cube GridPV</v>
      </c>
      <c r="Q86" t="str">
        <v>Could not find cube GridPV</v>
      </c>
      <c r="R86" s="57" t="e">
        <f t="shared" si="21"/>
        <v>#VALUE!</v>
      </c>
      <c r="S86" s="57" t="e">
        <f t="shared" si="22"/>
        <v>#VALUE!</v>
      </c>
      <c r="T86" s="57" t="e">
        <f t="shared" si="23"/>
        <v>#VALUE!</v>
      </c>
      <c r="U86" s="84" t="str">
        <f t="shared" si="24"/>
        <v>Could not find cube GridPV</v>
      </c>
    </row>
    <row r="87" spans="15:21" x14ac:dyDescent="0.25">
      <c r="O87" t="str">
        <v>Could not find cube GridPV</v>
      </c>
      <c r="P87" t="str">
        <v>Could not find cube GridPV</v>
      </c>
      <c r="Q87" t="str">
        <v>Could not find cube GridPV</v>
      </c>
      <c r="R87" s="57" t="e">
        <f t="shared" si="21"/>
        <v>#VALUE!</v>
      </c>
      <c r="S87" s="57" t="e">
        <f t="shared" si="22"/>
        <v>#VALUE!</v>
      </c>
      <c r="T87" s="57" t="e">
        <f t="shared" si="23"/>
        <v>#VALUE!</v>
      </c>
      <c r="U87" s="84" t="str">
        <f t="shared" si="24"/>
        <v>Could not find cube GridPV</v>
      </c>
    </row>
    <row r="88" spans="15:21" x14ac:dyDescent="0.25">
      <c r="O88" t="str">
        <v>Could not find cube GridPV</v>
      </c>
      <c r="P88" t="str">
        <v>Could not find cube GridPV</v>
      </c>
      <c r="Q88" t="str">
        <v>Could not find cube GridPV</v>
      </c>
      <c r="R88" s="57" t="e">
        <f t="shared" si="21"/>
        <v>#VALUE!</v>
      </c>
      <c r="S88" s="57" t="e">
        <f t="shared" si="22"/>
        <v>#VALUE!</v>
      </c>
      <c r="T88" s="57" t="e">
        <f t="shared" si="23"/>
        <v>#VALUE!</v>
      </c>
      <c r="U88" s="84" t="str">
        <f t="shared" si="24"/>
        <v>Could not find cube GridPV</v>
      </c>
    </row>
    <row r="89" spans="15:21" x14ac:dyDescent="0.25">
      <c r="O89" t="str">
        <v>Could not find cube GridPV</v>
      </c>
      <c r="P89" t="str">
        <v>Could not find cube GridPV</v>
      </c>
      <c r="Q89" t="str">
        <v>Could not find cube GridPV</v>
      </c>
      <c r="R89" s="57" t="e">
        <f t="shared" si="21"/>
        <v>#VALUE!</v>
      </c>
      <c r="S89" s="57" t="e">
        <f t="shared" si="22"/>
        <v>#VALUE!</v>
      </c>
      <c r="T89" s="57" t="e">
        <f t="shared" si="23"/>
        <v>#VALUE!</v>
      </c>
      <c r="U89" s="84" t="str">
        <f t="shared" si="24"/>
        <v>Could not find cube GridPV</v>
      </c>
    </row>
    <row r="90" spans="15:21" x14ac:dyDescent="0.25">
      <c r="O90" t="str">
        <v>Could not find cube GridPV</v>
      </c>
      <c r="P90" t="str">
        <v>Could not find cube GridPV</v>
      </c>
      <c r="Q90" t="str">
        <v>Could not find cube GridPV</v>
      </c>
      <c r="R90" s="57" t="e">
        <f t="shared" si="21"/>
        <v>#VALUE!</v>
      </c>
      <c r="S90" s="57" t="e">
        <f t="shared" si="22"/>
        <v>#VALUE!</v>
      </c>
      <c r="T90" s="57" t="e">
        <f t="shared" si="23"/>
        <v>#VALUE!</v>
      </c>
      <c r="U90" s="84" t="str">
        <f t="shared" si="24"/>
        <v>Could not find cube GridPV</v>
      </c>
    </row>
    <row r="91" spans="15:21" x14ac:dyDescent="0.25">
      <c r="O91" t="str">
        <v>Could not find cube GridPV</v>
      </c>
      <c r="P91" t="str">
        <v>Could not find cube GridPV</v>
      </c>
      <c r="Q91" t="str">
        <v>Could not find cube GridPV</v>
      </c>
      <c r="R91" s="57" t="e">
        <f t="shared" si="21"/>
        <v>#VALUE!</v>
      </c>
      <c r="S91" s="57" t="e">
        <f t="shared" si="22"/>
        <v>#VALUE!</v>
      </c>
      <c r="T91" s="57" t="e">
        <f t="shared" si="23"/>
        <v>#VALUE!</v>
      </c>
      <c r="U91" s="84" t="str">
        <f t="shared" si="24"/>
        <v>Could not find cube GridPV</v>
      </c>
    </row>
    <row r="92" spans="15:21" x14ac:dyDescent="0.25">
      <c r="O92" t="str">
        <v>Could not find cube GridPV</v>
      </c>
      <c r="P92" t="str">
        <v>Could not find cube GridPV</v>
      </c>
      <c r="Q92" t="str">
        <v>Could not find cube GridPV</v>
      </c>
      <c r="R92" s="57" t="e">
        <f t="shared" si="21"/>
        <v>#VALUE!</v>
      </c>
      <c r="S92" s="57" t="e">
        <f t="shared" si="22"/>
        <v>#VALUE!</v>
      </c>
      <c r="T92" s="57" t="e">
        <f t="shared" si="23"/>
        <v>#VALUE!</v>
      </c>
      <c r="U92" s="84" t="str">
        <f t="shared" si="24"/>
        <v>Could not find cube GridPV</v>
      </c>
    </row>
    <row r="93" spans="15:21" x14ac:dyDescent="0.25">
      <c r="O93" t="str">
        <v>Could not find cube GridPV</v>
      </c>
      <c r="P93" t="str">
        <v>Could not find cube GridPV</v>
      </c>
      <c r="Q93" t="str">
        <v>Could not find cube GridPV</v>
      </c>
      <c r="R93" s="57" t="e">
        <f t="shared" si="21"/>
        <v>#VALUE!</v>
      </c>
      <c r="S93" s="57" t="e">
        <f t="shared" si="22"/>
        <v>#VALUE!</v>
      </c>
      <c r="T93" s="57" t="e">
        <f t="shared" si="23"/>
        <v>#VALUE!</v>
      </c>
      <c r="U93" s="84" t="str">
        <f t="shared" si="24"/>
        <v>Could not find cube GridPV</v>
      </c>
    </row>
    <row r="94" spans="15:21" x14ac:dyDescent="0.25">
      <c r="O94" t="str">
        <v>Could not find cube GridPV</v>
      </c>
      <c r="P94" t="str">
        <v>Could not find cube GridPV</v>
      </c>
      <c r="Q94" t="str">
        <v>Could not find cube GridPV</v>
      </c>
      <c r="R94" s="57" t="e">
        <f t="shared" si="21"/>
        <v>#VALUE!</v>
      </c>
      <c r="S94" s="57" t="e">
        <f t="shared" si="22"/>
        <v>#VALUE!</v>
      </c>
      <c r="T94" s="57" t="e">
        <f t="shared" si="23"/>
        <v>#VALUE!</v>
      </c>
      <c r="U94" s="84" t="str">
        <f t="shared" si="24"/>
        <v>Could not find cube GridPV</v>
      </c>
    </row>
    <row r="95" spans="15:21" x14ac:dyDescent="0.25">
      <c r="O95" t="str">
        <v>Could not find cube GridPV</v>
      </c>
      <c r="P95" t="str">
        <v>Could not find cube GridPV</v>
      </c>
      <c r="Q95" t="str">
        <v>Could not find cube GridPV</v>
      </c>
      <c r="R95" s="57" t="e">
        <f t="shared" si="21"/>
        <v>#VALUE!</v>
      </c>
      <c r="S95" s="57" t="e">
        <f t="shared" si="22"/>
        <v>#VALUE!</v>
      </c>
      <c r="T95" s="57" t="e">
        <f t="shared" si="23"/>
        <v>#VALUE!</v>
      </c>
      <c r="U95" s="84" t="str">
        <f t="shared" si="24"/>
        <v>Could not find cube GridPV</v>
      </c>
    </row>
    <row r="96" spans="15:21" x14ac:dyDescent="0.25">
      <c r="O96" t="str">
        <v>Could not find cube GridPV</v>
      </c>
      <c r="P96" t="str">
        <v>Could not find cube GridPV</v>
      </c>
      <c r="Q96" t="str">
        <v>Could not find cube GridPV</v>
      </c>
      <c r="R96" s="57" t="e">
        <f t="shared" si="21"/>
        <v>#VALUE!</v>
      </c>
      <c r="S96" s="57" t="e">
        <f t="shared" si="22"/>
        <v>#VALUE!</v>
      </c>
      <c r="T96" s="57" t="e">
        <f t="shared" si="23"/>
        <v>#VALUE!</v>
      </c>
      <c r="U96" s="84" t="str">
        <f t="shared" si="24"/>
        <v>Could not find cube GridPV</v>
      </c>
    </row>
    <row r="97" spans="15:21" x14ac:dyDescent="0.25">
      <c r="O97" t="str">
        <v>Could not find cube GridPV</v>
      </c>
      <c r="P97" t="str">
        <v>Could not find cube GridPV</v>
      </c>
      <c r="Q97" t="str">
        <v>Could not find cube GridPV</v>
      </c>
      <c r="R97" s="57" t="e">
        <f t="shared" si="21"/>
        <v>#VALUE!</v>
      </c>
      <c r="S97" s="57" t="e">
        <f t="shared" si="22"/>
        <v>#VALUE!</v>
      </c>
      <c r="T97" s="57" t="e">
        <f t="shared" si="23"/>
        <v>#VALUE!</v>
      </c>
      <c r="U97" s="84" t="str">
        <f t="shared" si="24"/>
        <v>Could not find cube GridPV</v>
      </c>
    </row>
    <row r="98" spans="15:21" x14ac:dyDescent="0.25">
      <c r="O98" t="str">
        <v>Could not find cube GridPV</v>
      </c>
      <c r="P98" t="str">
        <v>Could not find cube GridPV</v>
      </c>
      <c r="Q98" t="str">
        <v>Could not find cube GridPV</v>
      </c>
      <c r="R98" s="57" t="e">
        <f t="shared" si="21"/>
        <v>#VALUE!</v>
      </c>
      <c r="S98" s="57" t="e">
        <f t="shared" si="22"/>
        <v>#VALUE!</v>
      </c>
      <c r="T98" s="57" t="e">
        <f t="shared" si="23"/>
        <v>#VALUE!</v>
      </c>
      <c r="U98" s="84" t="str">
        <f t="shared" si="24"/>
        <v>Could not find cube GridPV</v>
      </c>
    </row>
    <row r="99" spans="15:21" x14ac:dyDescent="0.25">
      <c r="O99" t="str">
        <v>Could not find cube GridPV</v>
      </c>
      <c r="P99" t="str">
        <v>Could not find cube GridPV</v>
      </c>
      <c r="Q99" t="str">
        <v>Could not find cube GridPV</v>
      </c>
      <c r="R99" s="57" t="e">
        <f t="shared" si="21"/>
        <v>#VALUE!</v>
      </c>
      <c r="S99" s="57" t="e">
        <f t="shared" si="22"/>
        <v>#VALUE!</v>
      </c>
      <c r="T99" s="57" t="e">
        <f t="shared" si="23"/>
        <v>#VALUE!</v>
      </c>
      <c r="U99" s="84" t="str">
        <f t="shared" si="24"/>
        <v>Could not find cube GridPV</v>
      </c>
    </row>
    <row r="100" spans="15:21" x14ac:dyDescent="0.25">
      <c r="O100" t="str">
        <v>Could not find cube GridPV</v>
      </c>
      <c r="P100" t="str">
        <v>Could not find cube GridPV</v>
      </c>
      <c r="Q100" t="str">
        <v>Could not find cube GridPV</v>
      </c>
      <c r="R100" s="57" t="e">
        <f t="shared" si="21"/>
        <v>#VALUE!</v>
      </c>
      <c r="S100" s="57" t="e">
        <f t="shared" si="22"/>
        <v>#VALUE!</v>
      </c>
      <c r="T100" s="57" t="e">
        <f t="shared" si="23"/>
        <v>#VALUE!</v>
      </c>
      <c r="U100" s="84" t="str">
        <f t="shared" si="24"/>
        <v>Could not find cube GridPV</v>
      </c>
    </row>
    <row r="101" spans="15:21" x14ac:dyDescent="0.25">
      <c r="O101" t="str">
        <v>Could not find cube GridPV</v>
      </c>
      <c r="P101" t="str">
        <v>Could not find cube GridPV</v>
      </c>
      <c r="Q101" t="str">
        <v>Could not find cube GridPV</v>
      </c>
      <c r="R101" s="57" t="e">
        <f t="shared" si="21"/>
        <v>#VALUE!</v>
      </c>
      <c r="S101" s="57" t="e">
        <f t="shared" si="22"/>
        <v>#VALUE!</v>
      </c>
      <c r="T101" s="57" t="e">
        <f t="shared" si="23"/>
        <v>#VALUE!</v>
      </c>
      <c r="U101" s="84" t="str">
        <f t="shared" si="24"/>
        <v>Could not find cube GridPV</v>
      </c>
    </row>
    <row r="102" spans="15:21" x14ac:dyDescent="0.25">
      <c r="O102" t="str">
        <v>Could not find cube GridPV</v>
      </c>
      <c r="P102" t="str">
        <v>Could not find cube GridPV</v>
      </c>
      <c r="Q102" t="str">
        <v>Could not find cube GridPV</v>
      </c>
      <c r="R102" s="57" t="e">
        <f t="shared" si="21"/>
        <v>#VALUE!</v>
      </c>
      <c r="S102" s="57" t="e">
        <f t="shared" si="22"/>
        <v>#VALUE!</v>
      </c>
      <c r="T102" s="57" t="e">
        <f t="shared" si="23"/>
        <v>#VALUE!</v>
      </c>
      <c r="U102" s="84" t="str">
        <f t="shared" si="24"/>
        <v>Could not find cube GridPV</v>
      </c>
    </row>
    <row r="103" spans="15:21" x14ac:dyDescent="0.25">
      <c r="O103" t="str">
        <v>Could not find cube GridPV</v>
      </c>
      <c r="P103" t="str">
        <v>Could not find cube GridPV</v>
      </c>
      <c r="Q103" t="str">
        <v>Could not find cube GridPV</v>
      </c>
      <c r="R103" s="57" t="e">
        <f t="shared" si="21"/>
        <v>#VALUE!</v>
      </c>
      <c r="S103" s="57" t="e">
        <f t="shared" si="22"/>
        <v>#VALUE!</v>
      </c>
      <c r="T103" s="57" t="e">
        <f t="shared" si="23"/>
        <v>#VALUE!</v>
      </c>
      <c r="U103" s="84" t="str">
        <f t="shared" si="24"/>
        <v>Could not find cube GridPV</v>
      </c>
    </row>
    <row r="104" spans="15:21" x14ac:dyDescent="0.25">
      <c r="O104" t="str">
        <v>Could not find cube GridPV</v>
      </c>
      <c r="P104" t="str">
        <v>Could not find cube GridPV</v>
      </c>
      <c r="Q104" t="str">
        <v>Could not find cube GridPV</v>
      </c>
      <c r="R104" s="57" t="e">
        <f t="shared" si="21"/>
        <v>#VALUE!</v>
      </c>
      <c r="S104" s="57" t="e">
        <f t="shared" si="22"/>
        <v>#VALUE!</v>
      </c>
      <c r="T104" s="57" t="e">
        <f t="shared" si="23"/>
        <v>#VALUE!</v>
      </c>
      <c r="U104" s="84" t="str">
        <f t="shared" si="24"/>
        <v>Could not find cube GridPV</v>
      </c>
    </row>
    <row r="105" spans="15:21" x14ac:dyDescent="0.25">
      <c r="O105" t="str">
        <v>Could not find cube GridPV</v>
      </c>
      <c r="P105" t="str">
        <v>Could not find cube GridPV</v>
      </c>
      <c r="Q105" t="str">
        <v>Could not find cube GridPV</v>
      </c>
      <c r="R105" s="57" t="e">
        <f t="shared" si="21"/>
        <v>#VALUE!</v>
      </c>
      <c r="S105" s="57" t="e">
        <f t="shared" si="22"/>
        <v>#VALUE!</v>
      </c>
      <c r="T105" s="57" t="e">
        <f t="shared" si="23"/>
        <v>#VALUE!</v>
      </c>
      <c r="U105" s="84" t="str">
        <f t="shared" si="24"/>
        <v>Could not find cube GridPV</v>
      </c>
    </row>
    <row r="106" spans="15:21" x14ac:dyDescent="0.25">
      <c r="O106" t="str">
        <v>Could not find cube GridPV</v>
      </c>
      <c r="P106" t="str">
        <v>Could not find cube GridPV</v>
      </c>
      <c r="Q106" t="str">
        <v>Could not find cube GridPV</v>
      </c>
      <c r="R106" s="57" t="e">
        <f t="shared" si="21"/>
        <v>#VALUE!</v>
      </c>
      <c r="S106" s="57" t="e">
        <f t="shared" si="22"/>
        <v>#VALUE!</v>
      </c>
      <c r="T106" s="57" t="e">
        <f t="shared" si="23"/>
        <v>#VALUE!</v>
      </c>
      <c r="U106" s="84" t="str">
        <f t="shared" si="24"/>
        <v>Could not find cube GridPV</v>
      </c>
    </row>
    <row r="107" spans="15:21" x14ac:dyDescent="0.25">
      <c r="O107" t="str">
        <v>Could not find cube GridPV</v>
      </c>
      <c r="P107" t="str">
        <v>Could not find cube GridPV</v>
      </c>
      <c r="Q107" t="str">
        <v>Could not find cube GridPV</v>
      </c>
      <c r="R107" s="57" t="e">
        <f t="shared" si="21"/>
        <v>#VALUE!</v>
      </c>
      <c r="S107" s="57" t="e">
        <f t="shared" si="22"/>
        <v>#VALUE!</v>
      </c>
      <c r="T107" s="57" t="e">
        <f t="shared" si="23"/>
        <v>#VALUE!</v>
      </c>
      <c r="U107" s="84" t="str">
        <f t="shared" si="24"/>
        <v>Could not find cube GridPV</v>
      </c>
    </row>
    <row r="108" spans="15:21" x14ac:dyDescent="0.25">
      <c r="O108" t="str">
        <v>Could not find cube GridPV</v>
      </c>
      <c r="P108" t="str">
        <v>Could not find cube GridPV</v>
      </c>
      <c r="Q108" t="str">
        <v>Could not find cube GridPV</v>
      </c>
      <c r="R108" s="57" t="e">
        <f t="shared" si="21"/>
        <v>#VALUE!</v>
      </c>
      <c r="S108" s="57" t="e">
        <f t="shared" si="22"/>
        <v>#VALUE!</v>
      </c>
      <c r="T108" s="57" t="e">
        <f t="shared" si="23"/>
        <v>#VALUE!</v>
      </c>
      <c r="U108" s="84" t="str">
        <f t="shared" si="24"/>
        <v>Could not find cube GridPV</v>
      </c>
    </row>
    <row r="109" spans="15:21" x14ac:dyDescent="0.25">
      <c r="O109" t="str">
        <v>Could not find cube GridPV</v>
      </c>
      <c r="P109" t="str">
        <v>Could not find cube GridPV</v>
      </c>
      <c r="Q109" t="str">
        <v>Could not find cube GridPV</v>
      </c>
      <c r="R109" s="57" t="e">
        <f t="shared" si="21"/>
        <v>#VALUE!</v>
      </c>
      <c r="S109" s="57" t="e">
        <f t="shared" si="22"/>
        <v>#VALUE!</v>
      </c>
      <c r="T109" s="57" t="e">
        <f t="shared" si="23"/>
        <v>#VALUE!</v>
      </c>
      <c r="U109" s="84" t="str">
        <f t="shared" si="24"/>
        <v>Could not find cube GridPV</v>
      </c>
    </row>
    <row r="110" spans="15:21" x14ac:dyDescent="0.25">
      <c r="O110" t="str">
        <v>Could not find cube GridPV</v>
      </c>
      <c r="P110" t="str">
        <v>Could not find cube GridPV</v>
      </c>
      <c r="Q110" t="str">
        <v>Could not find cube GridPV</v>
      </c>
      <c r="R110" s="57" t="e">
        <f t="shared" si="21"/>
        <v>#VALUE!</v>
      </c>
      <c r="S110" s="57" t="e">
        <f t="shared" si="22"/>
        <v>#VALUE!</v>
      </c>
      <c r="T110" s="57" t="e">
        <f t="shared" si="23"/>
        <v>#VALUE!</v>
      </c>
      <c r="U110" s="84" t="str">
        <f t="shared" si="24"/>
        <v>Could not find cube GridPV</v>
      </c>
    </row>
    <row r="111" spans="15:21" x14ac:dyDescent="0.25">
      <c r="O111" t="str">
        <v>Could not find cube GridPV</v>
      </c>
      <c r="P111" t="str">
        <v>Could not find cube GridPV</v>
      </c>
      <c r="Q111" t="str">
        <v>Could not find cube GridPV</v>
      </c>
      <c r="R111" s="57" t="e">
        <f t="shared" si="21"/>
        <v>#VALUE!</v>
      </c>
      <c r="S111" s="57" t="e">
        <f t="shared" si="22"/>
        <v>#VALUE!</v>
      </c>
      <c r="T111" s="57" t="e">
        <f t="shared" si="23"/>
        <v>#VALUE!</v>
      </c>
      <c r="U111" s="84" t="str">
        <f t="shared" si="24"/>
        <v>Could not find cube GridPV</v>
      </c>
    </row>
    <row r="112" spans="15:21" x14ac:dyDescent="0.25">
      <c r="O112" t="str">
        <v>Could not find cube GridPV</v>
      </c>
      <c r="P112" t="str">
        <v>Could not find cube GridPV</v>
      </c>
      <c r="Q112" t="str">
        <v>Could not find cube GridPV</v>
      </c>
      <c r="R112" s="57" t="e">
        <f t="shared" si="21"/>
        <v>#VALUE!</v>
      </c>
      <c r="S112" s="57" t="e">
        <f t="shared" si="22"/>
        <v>#VALUE!</v>
      </c>
      <c r="T112" s="57" t="e">
        <f t="shared" si="23"/>
        <v>#VALUE!</v>
      </c>
      <c r="U112" s="84" t="str">
        <f t="shared" si="24"/>
        <v>Could not find cube GridPV</v>
      </c>
    </row>
    <row r="113" spans="15:21" x14ac:dyDescent="0.25">
      <c r="O113" t="str">
        <v>Could not find cube GridPV</v>
      </c>
      <c r="P113" t="str">
        <v>Could not find cube GridPV</v>
      </c>
      <c r="Q113" t="str">
        <v>Could not find cube GridPV</v>
      </c>
      <c r="R113" s="57" t="e">
        <f t="shared" si="21"/>
        <v>#VALUE!</v>
      </c>
      <c r="S113" s="57" t="e">
        <f t="shared" si="22"/>
        <v>#VALUE!</v>
      </c>
      <c r="T113" s="57" t="e">
        <f t="shared" si="23"/>
        <v>#VALUE!</v>
      </c>
      <c r="U113" s="84" t="str">
        <f t="shared" si="24"/>
        <v>Could not find cube GridPV</v>
      </c>
    </row>
    <row r="114" spans="15:21" x14ac:dyDescent="0.25">
      <c r="O114" t="str">
        <v>Could not find cube GridPV</v>
      </c>
      <c r="P114" t="str">
        <v>Could not find cube GridPV</v>
      </c>
      <c r="Q114" t="str">
        <v>Could not find cube GridPV</v>
      </c>
      <c r="R114" s="57" t="e">
        <f t="shared" si="21"/>
        <v>#VALUE!</v>
      </c>
      <c r="S114" s="57" t="e">
        <f t="shared" si="22"/>
        <v>#VALUE!</v>
      </c>
      <c r="T114" s="57" t="e">
        <f t="shared" si="23"/>
        <v>#VALUE!</v>
      </c>
      <c r="U114" s="84" t="str">
        <f t="shared" si="24"/>
        <v>Could not find cube GridPV</v>
      </c>
    </row>
    <row r="115" spans="15:21" x14ac:dyDescent="0.25">
      <c r="O115" t="str">
        <v>Could not find cube GridPV</v>
      </c>
      <c r="P115" t="str">
        <v>Could not find cube GridPV</v>
      </c>
      <c r="Q115" t="str">
        <v>Could not find cube GridPV</v>
      </c>
      <c r="R115" s="57" t="e">
        <f t="shared" si="21"/>
        <v>#VALUE!</v>
      </c>
      <c r="S115" s="57" t="e">
        <f t="shared" si="22"/>
        <v>#VALUE!</v>
      </c>
      <c r="T115" s="57" t="e">
        <f t="shared" si="23"/>
        <v>#VALUE!</v>
      </c>
      <c r="U115" s="84" t="str">
        <f t="shared" si="24"/>
        <v>Could not find cube GridPV</v>
      </c>
    </row>
    <row r="116" spans="15:21" x14ac:dyDescent="0.25">
      <c r="O116" t="str">
        <v>Could not find cube GridPV</v>
      </c>
      <c r="P116" t="str">
        <v>Could not find cube GridPV</v>
      </c>
      <c r="Q116" t="str">
        <v>Could not find cube GridPV</v>
      </c>
      <c r="R116" s="57" t="e">
        <f t="shared" si="21"/>
        <v>#VALUE!</v>
      </c>
      <c r="S116" s="57" t="e">
        <f t="shared" si="22"/>
        <v>#VALUE!</v>
      </c>
      <c r="T116" s="57" t="e">
        <f t="shared" si="23"/>
        <v>#VALUE!</v>
      </c>
      <c r="U116" s="84" t="str">
        <f t="shared" si="24"/>
        <v>Could not find cube GridPV</v>
      </c>
    </row>
    <row r="117" spans="15:21" x14ac:dyDescent="0.25">
      <c r="O117" t="str">
        <v>Could not find cube GridPV</v>
      </c>
      <c r="P117" t="str">
        <v>Could not find cube GridPV</v>
      </c>
      <c r="Q117" t="str">
        <v>Could not find cube GridPV</v>
      </c>
      <c r="R117" s="57" t="e">
        <f t="shared" si="21"/>
        <v>#VALUE!</v>
      </c>
      <c r="S117" s="57" t="e">
        <f t="shared" si="22"/>
        <v>#VALUE!</v>
      </c>
      <c r="T117" s="57" t="e">
        <f t="shared" si="23"/>
        <v>#VALUE!</v>
      </c>
      <c r="U117" s="84" t="str">
        <f t="shared" si="24"/>
        <v>Could not find cube GridPV</v>
      </c>
    </row>
    <row r="118" spans="15:21" x14ac:dyDescent="0.25">
      <c r="O118" t="str">
        <v>Could not find cube GridPV</v>
      </c>
      <c r="P118" t="str">
        <v>Could not find cube GridPV</v>
      </c>
      <c r="Q118" t="str">
        <v>Could not find cube GridPV</v>
      </c>
      <c r="R118" s="57" t="e">
        <f t="shared" si="21"/>
        <v>#VALUE!</v>
      </c>
      <c r="S118" s="57" t="e">
        <f t="shared" si="22"/>
        <v>#VALUE!</v>
      </c>
      <c r="T118" s="57" t="e">
        <f t="shared" si="23"/>
        <v>#VALUE!</v>
      </c>
      <c r="U118" s="84" t="str">
        <f t="shared" si="24"/>
        <v>Could not find cube GridPV</v>
      </c>
    </row>
    <row r="119" spans="15:21" x14ac:dyDescent="0.25">
      <c r="O119" t="str">
        <v>Could not find cube GridPV</v>
      </c>
      <c r="P119" t="str">
        <v>Could not find cube GridPV</v>
      </c>
      <c r="Q119" t="str">
        <v>Could not find cube GridPV</v>
      </c>
      <c r="R119" s="57" t="e">
        <f t="shared" si="21"/>
        <v>#VALUE!</v>
      </c>
      <c r="S119" s="57" t="e">
        <f t="shared" si="22"/>
        <v>#VALUE!</v>
      </c>
      <c r="T119" s="57" t="e">
        <f t="shared" si="23"/>
        <v>#VALUE!</v>
      </c>
      <c r="U119" s="84" t="str">
        <f t="shared" si="24"/>
        <v>Could not find cube GridPV</v>
      </c>
    </row>
    <row r="120" spans="15:21" x14ac:dyDescent="0.25">
      <c r="O120" t="str">
        <v>Could not find cube GridPV</v>
      </c>
      <c r="P120" t="str">
        <v>Could not find cube GridPV</v>
      </c>
      <c r="Q120" t="str">
        <v>Could not find cube GridPV</v>
      </c>
      <c r="R120" s="57" t="e">
        <f t="shared" si="21"/>
        <v>#VALUE!</v>
      </c>
      <c r="S120" s="57" t="e">
        <f t="shared" si="22"/>
        <v>#VALUE!</v>
      </c>
      <c r="T120" s="57" t="e">
        <f t="shared" si="23"/>
        <v>#VALUE!</v>
      </c>
      <c r="U120" s="84" t="str">
        <f t="shared" si="24"/>
        <v>Could not find cube GridPV</v>
      </c>
    </row>
    <row r="121" spans="15:21" x14ac:dyDescent="0.25">
      <c r="O121" t="str">
        <v>Could not find cube GridPV</v>
      </c>
      <c r="P121" t="str">
        <v>Could not find cube GridPV</v>
      </c>
      <c r="Q121" t="str">
        <v>Could not find cube GridPV</v>
      </c>
      <c r="R121" s="57" t="e">
        <f t="shared" si="21"/>
        <v>#VALUE!</v>
      </c>
      <c r="S121" s="57" t="e">
        <f t="shared" si="22"/>
        <v>#VALUE!</v>
      </c>
      <c r="T121" s="57" t="e">
        <f t="shared" si="23"/>
        <v>#VALUE!</v>
      </c>
      <c r="U121" s="84" t="str">
        <f t="shared" si="24"/>
        <v>Could not find cube GridPV</v>
      </c>
    </row>
    <row r="122" spans="15:21" x14ac:dyDescent="0.25">
      <c r="O122" t="str">
        <v>Could not find cube GridPV</v>
      </c>
      <c r="P122" t="str">
        <v>Could not find cube GridPV</v>
      </c>
      <c r="Q122" t="str">
        <v>Could not find cube GridPV</v>
      </c>
      <c r="R122" s="57" t="e">
        <f t="shared" si="21"/>
        <v>#VALUE!</v>
      </c>
      <c r="S122" s="57" t="e">
        <f t="shared" si="22"/>
        <v>#VALUE!</v>
      </c>
      <c r="T122" s="57" t="e">
        <f t="shared" si="23"/>
        <v>#VALUE!</v>
      </c>
      <c r="U122" s="84" t="str">
        <f t="shared" si="24"/>
        <v>Could not find cube GridPV</v>
      </c>
    </row>
    <row r="123" spans="15:21" x14ac:dyDescent="0.25">
      <c r="O123" t="str">
        <v>Could not find cube GridPV</v>
      </c>
      <c r="P123" t="str">
        <v>Could not find cube GridPV</v>
      </c>
      <c r="Q123" t="str">
        <v>Could not find cube GridPV</v>
      </c>
      <c r="R123" s="57" t="e">
        <f t="shared" si="21"/>
        <v>#VALUE!</v>
      </c>
      <c r="S123" s="57" t="e">
        <f t="shared" si="22"/>
        <v>#VALUE!</v>
      </c>
      <c r="T123" s="57" t="e">
        <f t="shared" si="23"/>
        <v>#VALUE!</v>
      </c>
      <c r="U123" s="84" t="str">
        <f t="shared" si="24"/>
        <v>Could not find cube GridPV</v>
      </c>
    </row>
    <row r="124" spans="15:21" x14ac:dyDescent="0.25">
      <c r="O124" t="str">
        <v>Could not find cube GridPV</v>
      </c>
      <c r="P124" t="str">
        <v>Could not find cube GridPV</v>
      </c>
      <c r="Q124" t="str">
        <v>Could not find cube GridPV</v>
      </c>
      <c r="R124" s="57" t="e">
        <f t="shared" si="21"/>
        <v>#VALUE!</v>
      </c>
      <c r="S124" s="57" t="e">
        <f t="shared" si="22"/>
        <v>#VALUE!</v>
      </c>
      <c r="T124" s="57" t="e">
        <f t="shared" si="23"/>
        <v>#VALUE!</v>
      </c>
      <c r="U124" s="84" t="str">
        <f t="shared" si="24"/>
        <v>Could not find cube GridPV</v>
      </c>
    </row>
    <row r="125" spans="15:21" x14ac:dyDescent="0.25">
      <c r="O125" t="str">
        <v>Could not find cube GridPV</v>
      </c>
      <c r="P125" t="str">
        <v>Could not find cube GridPV</v>
      </c>
      <c r="Q125" t="str">
        <v>Could not find cube GridPV</v>
      </c>
      <c r="R125" s="57" t="e">
        <f t="shared" si="21"/>
        <v>#VALUE!</v>
      </c>
      <c r="S125" s="57" t="e">
        <f t="shared" si="22"/>
        <v>#VALUE!</v>
      </c>
      <c r="T125" s="57" t="e">
        <f t="shared" si="23"/>
        <v>#VALUE!</v>
      </c>
      <c r="U125" s="84" t="str">
        <f t="shared" si="24"/>
        <v>Could not find cube GridPV</v>
      </c>
    </row>
    <row r="126" spans="15:21" x14ac:dyDescent="0.25">
      <c r="O126" t="str">
        <v>Could not find cube GridPV</v>
      </c>
      <c r="P126" t="str">
        <v>Could not find cube GridPV</v>
      </c>
      <c r="Q126" t="str">
        <v>Could not find cube GridPV</v>
      </c>
      <c r="R126" s="57" t="e">
        <f t="shared" si="21"/>
        <v>#VALUE!</v>
      </c>
      <c r="S126" s="57" t="e">
        <f t="shared" si="22"/>
        <v>#VALUE!</v>
      </c>
      <c r="T126" s="57" t="e">
        <f t="shared" si="23"/>
        <v>#VALUE!</v>
      </c>
      <c r="U126" s="84" t="str">
        <f t="shared" si="24"/>
        <v>Could not find cube GridPV</v>
      </c>
    </row>
    <row r="127" spans="15:21" x14ac:dyDescent="0.25">
      <c r="O127" t="str">
        <v>Could not find cube GridPV</v>
      </c>
      <c r="P127" t="str">
        <v>Could not find cube GridPV</v>
      </c>
      <c r="Q127" t="str">
        <v>Could not find cube GridPV</v>
      </c>
      <c r="R127" s="57" t="e">
        <f t="shared" si="21"/>
        <v>#VALUE!</v>
      </c>
      <c r="S127" s="57" t="e">
        <f t="shared" si="22"/>
        <v>#VALUE!</v>
      </c>
      <c r="T127" s="57" t="e">
        <f t="shared" si="23"/>
        <v>#VALUE!</v>
      </c>
      <c r="U127" s="84" t="str">
        <f t="shared" si="24"/>
        <v>Could not find cube GridPV</v>
      </c>
    </row>
    <row r="128" spans="15:21" x14ac:dyDescent="0.25">
      <c r="O128" t="str">
        <v>Could not find cube GridPV</v>
      </c>
      <c r="P128" t="str">
        <v>Could not find cube GridPV</v>
      </c>
      <c r="Q128" t="str">
        <v>Could not find cube GridPV</v>
      </c>
      <c r="R128" s="57" t="e">
        <f t="shared" si="21"/>
        <v>#VALUE!</v>
      </c>
      <c r="S128" s="57" t="e">
        <f t="shared" si="22"/>
        <v>#VALUE!</v>
      </c>
      <c r="T128" s="57" t="e">
        <f t="shared" si="23"/>
        <v>#VALUE!</v>
      </c>
      <c r="U128" s="84" t="str">
        <f t="shared" si="24"/>
        <v>Could not find cube GridPV</v>
      </c>
    </row>
    <row r="129" spans="15:21" x14ac:dyDescent="0.25">
      <c r="O129" t="str">
        <v>Could not find cube GridPV</v>
      </c>
      <c r="P129" t="str">
        <v>Could not find cube GridPV</v>
      </c>
      <c r="Q129" t="str">
        <v>Could not find cube GridPV</v>
      </c>
      <c r="R129" s="57" t="e">
        <f t="shared" si="21"/>
        <v>#VALUE!</v>
      </c>
      <c r="S129" s="57" t="e">
        <f t="shared" si="22"/>
        <v>#VALUE!</v>
      </c>
      <c r="T129" s="57" t="e">
        <f t="shared" si="23"/>
        <v>#VALUE!</v>
      </c>
      <c r="U129" s="84" t="str">
        <f t="shared" si="24"/>
        <v>Could not find cube GridPV</v>
      </c>
    </row>
    <row r="130" spans="15:21" x14ac:dyDescent="0.25">
      <c r="O130" t="str">
        <v>Could not find cube GridPV</v>
      </c>
      <c r="P130" t="str">
        <v>Could not find cube GridPV</v>
      </c>
      <c r="Q130" t="str">
        <v>Could not find cube GridPV</v>
      </c>
      <c r="R130" s="57" t="e">
        <f t="shared" si="21"/>
        <v>#VALUE!</v>
      </c>
      <c r="S130" s="57" t="e">
        <f t="shared" si="22"/>
        <v>#VALUE!</v>
      </c>
      <c r="T130" s="57" t="e">
        <f t="shared" si="23"/>
        <v>#VALUE!</v>
      </c>
      <c r="U130" s="84" t="str">
        <f t="shared" si="24"/>
        <v>Could not find cube GridPV</v>
      </c>
    </row>
    <row r="131" spans="15:21" x14ac:dyDescent="0.25">
      <c r="O131" t="str">
        <v>Could not find cube GridPV</v>
      </c>
      <c r="P131" t="str">
        <v>Could not find cube GridPV</v>
      </c>
      <c r="Q131" t="str">
        <v>Could not find cube GridPV</v>
      </c>
      <c r="R131" s="57" t="e">
        <f t="shared" si="21"/>
        <v>#VALUE!</v>
      </c>
      <c r="S131" s="57" t="e">
        <f t="shared" si="22"/>
        <v>#VALUE!</v>
      </c>
      <c r="T131" s="57" t="e">
        <f t="shared" si="23"/>
        <v>#VALUE!</v>
      </c>
      <c r="U131" s="84" t="str">
        <f t="shared" si="24"/>
        <v>Could not find cube GridPV</v>
      </c>
    </row>
    <row r="132" spans="15:21" x14ac:dyDescent="0.25">
      <c r="O132" t="str">
        <v>Could not find cube GridPV</v>
      </c>
      <c r="P132" t="str">
        <v>Could not find cube GridPV</v>
      </c>
      <c r="Q132" t="str">
        <v>Could not find cube GridPV</v>
      </c>
      <c r="R132" s="57" t="e">
        <f t="shared" si="21"/>
        <v>#VALUE!</v>
      </c>
      <c r="S132" s="57" t="e">
        <f t="shared" si="22"/>
        <v>#VALUE!</v>
      </c>
      <c r="T132" s="57" t="e">
        <f t="shared" si="23"/>
        <v>#VALUE!</v>
      </c>
      <c r="U132" s="84" t="str">
        <f t="shared" si="24"/>
        <v>Could not find cube GridPV</v>
      </c>
    </row>
    <row r="133" spans="15:21" x14ac:dyDescent="0.25">
      <c r="O133" t="str">
        <v>Could not find cube GridPV</v>
      </c>
      <c r="P133" t="str">
        <v>Could not find cube GridPV</v>
      </c>
      <c r="Q133" t="str">
        <v>Could not find cube GridPV</v>
      </c>
      <c r="R133" s="57" t="e">
        <f t="shared" si="21"/>
        <v>#VALUE!</v>
      </c>
      <c r="S133" s="57" t="e">
        <f t="shared" si="22"/>
        <v>#VALUE!</v>
      </c>
      <c r="T133" s="57" t="e">
        <f t="shared" si="23"/>
        <v>#VALUE!</v>
      </c>
      <c r="U133" s="84" t="str">
        <f t="shared" si="24"/>
        <v>Could not find cube GridPV</v>
      </c>
    </row>
    <row r="134" spans="15:21" x14ac:dyDescent="0.25">
      <c r="O134" t="str">
        <v>Could not find cube GridPV</v>
      </c>
      <c r="P134" t="str">
        <v>Could not find cube GridPV</v>
      </c>
      <c r="Q134" t="str">
        <v>Could not find cube GridPV</v>
      </c>
      <c r="R134" s="57" t="e">
        <f t="shared" si="21"/>
        <v>#VALUE!</v>
      </c>
      <c r="S134" s="57" t="e">
        <f t="shared" si="22"/>
        <v>#VALUE!</v>
      </c>
      <c r="T134" s="57" t="e">
        <f t="shared" si="23"/>
        <v>#VALUE!</v>
      </c>
      <c r="U134" s="84" t="str">
        <f t="shared" si="24"/>
        <v>Could not find cube GridPV</v>
      </c>
    </row>
    <row r="135" spans="15:21" x14ac:dyDescent="0.25">
      <c r="O135" t="str">
        <v>Could not find cube GridPV</v>
      </c>
      <c r="P135" t="str">
        <v>Could not find cube GridPV</v>
      </c>
      <c r="Q135" t="str">
        <v>Could not find cube GridPV</v>
      </c>
      <c r="R135" s="57" t="e">
        <f t="shared" si="21"/>
        <v>#VALUE!</v>
      </c>
      <c r="S135" s="57" t="e">
        <f t="shared" si="22"/>
        <v>#VALUE!</v>
      </c>
      <c r="T135" s="57" t="e">
        <f t="shared" si="23"/>
        <v>#VALUE!</v>
      </c>
      <c r="U135" s="84" t="str">
        <f t="shared" si="24"/>
        <v>Could not find cube GridPV</v>
      </c>
    </row>
    <row r="136" spans="15:21" x14ac:dyDescent="0.25">
      <c r="O136" t="str">
        <v>Could not find cube GridPV</v>
      </c>
      <c r="P136" t="str">
        <v>Could not find cube GridPV</v>
      </c>
      <c r="Q136" t="str">
        <v>Could not find cube GridPV</v>
      </c>
      <c r="R136" s="57" t="e">
        <f t="shared" si="21"/>
        <v>#VALUE!</v>
      </c>
      <c r="S136" s="57" t="e">
        <f t="shared" si="22"/>
        <v>#VALUE!</v>
      </c>
      <c r="T136" s="57" t="e">
        <f t="shared" si="23"/>
        <v>#VALUE!</v>
      </c>
      <c r="U136" s="84" t="str">
        <f t="shared" si="24"/>
        <v>Could not find cube GridPV</v>
      </c>
    </row>
    <row r="137" spans="15:21" x14ac:dyDescent="0.25">
      <c r="O137" t="str">
        <v>Could not find cube GridPV</v>
      </c>
      <c r="P137" t="str">
        <v>Could not find cube GridPV</v>
      </c>
      <c r="Q137" t="str">
        <v>Could not find cube GridPV</v>
      </c>
      <c r="R137" s="57" t="e">
        <f t="shared" si="21"/>
        <v>#VALUE!</v>
      </c>
      <c r="S137" s="57" t="e">
        <f t="shared" si="22"/>
        <v>#VALUE!</v>
      </c>
      <c r="T137" s="57" t="e">
        <f t="shared" si="23"/>
        <v>#VALUE!</v>
      </c>
      <c r="U137" s="84" t="str">
        <f t="shared" si="24"/>
        <v>Could not find cube GridPV</v>
      </c>
    </row>
    <row r="138" spans="15:21" x14ac:dyDescent="0.25">
      <c r="O138" t="str">
        <v>Could not find cube GridPV</v>
      </c>
      <c r="P138" t="str">
        <v>Could not find cube GridPV</v>
      </c>
      <c r="Q138" t="str">
        <v>Could not find cube GridPV</v>
      </c>
      <c r="R138" s="57" t="e">
        <f t="shared" si="21"/>
        <v>#VALUE!</v>
      </c>
      <c r="S138" s="57" t="e">
        <f t="shared" si="22"/>
        <v>#VALUE!</v>
      </c>
      <c r="T138" s="57" t="e">
        <f t="shared" si="23"/>
        <v>#VALUE!</v>
      </c>
      <c r="U138" s="84" t="str">
        <f t="shared" si="24"/>
        <v>Could not find cube GridPV</v>
      </c>
    </row>
    <row r="139" spans="15:21" x14ac:dyDescent="0.25">
      <c r="O139" t="str">
        <v>Could not find cube GridPV</v>
      </c>
      <c r="P139" t="str">
        <v>Could not find cube GridPV</v>
      </c>
      <c r="Q139" t="str">
        <v>Could not find cube GridPV</v>
      </c>
      <c r="R139" s="57" t="e">
        <f t="shared" si="21"/>
        <v>#VALUE!</v>
      </c>
      <c r="S139" s="57" t="e">
        <f t="shared" si="22"/>
        <v>#VALUE!</v>
      </c>
      <c r="T139" s="57" t="e">
        <f t="shared" si="23"/>
        <v>#VALUE!</v>
      </c>
      <c r="U139" s="84" t="str">
        <f t="shared" si="24"/>
        <v>Could not find cube GridPV</v>
      </c>
    </row>
    <row r="140" spans="15:21" x14ac:dyDescent="0.25">
      <c r="O140" t="str">
        <v>Could not find cube GridPV</v>
      </c>
      <c r="P140" t="str">
        <v>Could not find cube GridPV</v>
      </c>
      <c r="Q140" t="str">
        <v>Could not find cube GridPV</v>
      </c>
      <c r="R140" s="57" t="e">
        <f t="shared" si="21"/>
        <v>#VALUE!</v>
      </c>
      <c r="S140" s="57" t="e">
        <f t="shared" si="22"/>
        <v>#VALUE!</v>
      </c>
      <c r="T140" s="57" t="e">
        <f t="shared" si="23"/>
        <v>#VALUE!</v>
      </c>
      <c r="U140" s="84" t="str">
        <f t="shared" si="24"/>
        <v>Could not find cube GridPV</v>
      </c>
    </row>
    <row r="141" spans="15:21" x14ac:dyDescent="0.25">
      <c r="O141" t="str">
        <v>Could not find cube GridPV</v>
      </c>
      <c r="P141" t="str">
        <v>Could not find cube GridPV</v>
      </c>
      <c r="Q141" t="str">
        <v>Could not find cube GridPV</v>
      </c>
      <c r="R141" s="57" t="e">
        <f t="shared" si="21"/>
        <v>#VALUE!</v>
      </c>
      <c r="S141" s="57" t="e">
        <f t="shared" si="22"/>
        <v>#VALUE!</v>
      </c>
      <c r="T141" s="57" t="e">
        <f t="shared" si="23"/>
        <v>#VALUE!</v>
      </c>
      <c r="U141" s="84" t="str">
        <f t="shared" si="24"/>
        <v>Could not find cube GridPV</v>
      </c>
    </row>
    <row r="142" spans="15:21" x14ac:dyDescent="0.25">
      <c r="O142" t="str">
        <v>Could not find cube GridPV</v>
      </c>
      <c r="P142" t="str">
        <v>Could not find cube GridPV</v>
      </c>
      <c r="Q142" t="str">
        <v>Could not find cube GridPV</v>
      </c>
      <c r="R142" s="57" t="e">
        <f t="shared" si="21"/>
        <v>#VALUE!</v>
      </c>
      <c r="S142" s="57" t="e">
        <f t="shared" si="22"/>
        <v>#VALUE!</v>
      </c>
      <c r="T142" s="57" t="e">
        <f t="shared" si="23"/>
        <v>#VALUE!</v>
      </c>
      <c r="U142" s="84" t="str">
        <f t="shared" si="24"/>
        <v>Could not find cube GridPV</v>
      </c>
    </row>
    <row r="143" spans="15:21" x14ac:dyDescent="0.25">
      <c r="O143" t="str">
        <v>Could not find cube GridPV</v>
      </c>
      <c r="P143" t="str">
        <v>Could not find cube GridPV</v>
      </c>
      <c r="Q143" t="str">
        <v>Could not find cube GridPV</v>
      </c>
      <c r="R143" s="57" t="e">
        <f t="shared" si="21"/>
        <v>#VALUE!</v>
      </c>
      <c r="S143" s="57" t="e">
        <f t="shared" si="22"/>
        <v>#VALUE!</v>
      </c>
      <c r="T143" s="57" t="e">
        <f t="shared" si="23"/>
        <v>#VALUE!</v>
      </c>
      <c r="U143" s="84" t="str">
        <f t="shared" si="24"/>
        <v>Could not find cube GridPV</v>
      </c>
    </row>
    <row r="144" spans="15:21" x14ac:dyDescent="0.25">
      <c r="O144" t="str">
        <v>Could not find cube GridPV</v>
      </c>
      <c r="P144" t="str">
        <v>Could not find cube GridPV</v>
      </c>
      <c r="Q144" t="str">
        <v>Could not find cube GridPV</v>
      </c>
      <c r="R144" s="57" t="e">
        <f t="shared" si="21"/>
        <v>#VALUE!</v>
      </c>
      <c r="S144" s="57" t="e">
        <f t="shared" si="22"/>
        <v>#VALUE!</v>
      </c>
      <c r="T144" s="57" t="e">
        <f t="shared" si="23"/>
        <v>#VALUE!</v>
      </c>
      <c r="U144" s="84" t="str">
        <f t="shared" si="24"/>
        <v>Could not find cube GridPV</v>
      </c>
    </row>
    <row r="145" spans="15:21" x14ac:dyDescent="0.25">
      <c r="O145" t="str">
        <v>Could not find cube GridPV</v>
      </c>
      <c r="P145" t="str">
        <v>Could not find cube GridPV</v>
      </c>
      <c r="Q145" t="str">
        <v>Could not find cube GridPV</v>
      </c>
      <c r="R145" s="57" t="e">
        <f t="shared" si="21"/>
        <v>#VALUE!</v>
      </c>
      <c r="S145" s="57" t="e">
        <f t="shared" si="22"/>
        <v>#VALUE!</v>
      </c>
      <c r="T145" s="57" t="e">
        <f t="shared" si="23"/>
        <v>#VALUE!</v>
      </c>
      <c r="U145" s="84" t="str">
        <f t="shared" si="24"/>
        <v>Could not find cube GridPV</v>
      </c>
    </row>
    <row r="146" spans="15:21" x14ac:dyDescent="0.25">
      <c r="O146" t="str">
        <v>Could not find cube GridPV</v>
      </c>
      <c r="P146" t="str">
        <v>Could not find cube GridPV</v>
      </c>
      <c r="Q146" t="str">
        <v>Could not find cube GridPV</v>
      </c>
      <c r="R146" s="57" t="e">
        <f t="shared" ref="R146:R193" si="25">LEFT(O146,FIND("~",O146)-1)</f>
        <v>#VALUE!</v>
      </c>
      <c r="S146" s="57" t="e">
        <f t="shared" ref="S146:S193" si="26">MID(O146,FIND("~",O146)+1,10)</f>
        <v>#VALUE!</v>
      </c>
      <c r="T146" s="57" t="e">
        <f t="shared" ref="T146:T193" si="27">R146&amp;S146</f>
        <v>#VALUE!</v>
      </c>
      <c r="U146" s="84" t="str">
        <f t="shared" ref="U146:U193" si="28">Q146</f>
        <v>Could not find cube GridPV</v>
      </c>
    </row>
    <row r="147" spans="15:21" x14ac:dyDescent="0.25">
      <c r="O147" t="str">
        <v>Could not find cube GridPV</v>
      </c>
      <c r="P147" t="str">
        <v>Could not find cube GridPV</v>
      </c>
      <c r="Q147" t="str">
        <v>Could not find cube GridPV</v>
      </c>
      <c r="R147" s="57" t="e">
        <f t="shared" si="25"/>
        <v>#VALUE!</v>
      </c>
      <c r="S147" s="57" t="e">
        <f t="shared" si="26"/>
        <v>#VALUE!</v>
      </c>
      <c r="T147" s="57" t="e">
        <f t="shared" si="27"/>
        <v>#VALUE!</v>
      </c>
      <c r="U147" s="84" t="str">
        <f t="shared" si="28"/>
        <v>Could not find cube GridPV</v>
      </c>
    </row>
    <row r="148" spans="15:21" x14ac:dyDescent="0.25">
      <c r="O148" t="str">
        <v>Could not find cube GridPV</v>
      </c>
      <c r="P148" t="str">
        <v>Could not find cube GridPV</v>
      </c>
      <c r="Q148" t="str">
        <v>Could not find cube GridPV</v>
      </c>
      <c r="R148" s="57" t="e">
        <f t="shared" si="25"/>
        <v>#VALUE!</v>
      </c>
      <c r="S148" s="57" t="e">
        <f t="shared" si="26"/>
        <v>#VALUE!</v>
      </c>
      <c r="T148" s="57" t="e">
        <f t="shared" si="27"/>
        <v>#VALUE!</v>
      </c>
      <c r="U148" s="84" t="str">
        <f t="shared" si="28"/>
        <v>Could not find cube GridPV</v>
      </c>
    </row>
    <row r="149" spans="15:21" x14ac:dyDescent="0.25">
      <c r="O149" t="str">
        <v>Could not find cube GridPV</v>
      </c>
      <c r="P149" t="str">
        <v>Could not find cube GridPV</v>
      </c>
      <c r="Q149" t="str">
        <v>Could not find cube GridPV</v>
      </c>
      <c r="R149" s="57" t="e">
        <f t="shared" si="25"/>
        <v>#VALUE!</v>
      </c>
      <c r="S149" s="57" t="e">
        <f t="shared" si="26"/>
        <v>#VALUE!</v>
      </c>
      <c r="T149" s="57" t="e">
        <f t="shared" si="27"/>
        <v>#VALUE!</v>
      </c>
      <c r="U149" s="84" t="str">
        <f t="shared" si="28"/>
        <v>Could not find cube GridPV</v>
      </c>
    </row>
    <row r="150" spans="15:21" x14ac:dyDescent="0.25">
      <c r="O150" t="str">
        <v>Could not find cube GridPV</v>
      </c>
      <c r="P150" t="str">
        <v>Could not find cube GridPV</v>
      </c>
      <c r="Q150" t="str">
        <v>Could not find cube GridPV</v>
      </c>
      <c r="R150" s="57" t="e">
        <f t="shared" si="25"/>
        <v>#VALUE!</v>
      </c>
      <c r="S150" s="57" t="e">
        <f t="shared" si="26"/>
        <v>#VALUE!</v>
      </c>
      <c r="T150" s="57" t="e">
        <f t="shared" si="27"/>
        <v>#VALUE!</v>
      </c>
      <c r="U150" s="84" t="str">
        <f t="shared" si="28"/>
        <v>Could not find cube GridPV</v>
      </c>
    </row>
    <row r="151" spans="15:21" x14ac:dyDescent="0.25">
      <c r="O151" t="str">
        <v>Could not find cube GridPV</v>
      </c>
      <c r="P151" t="str">
        <v>Could not find cube GridPV</v>
      </c>
      <c r="Q151" t="str">
        <v>Could not find cube GridPV</v>
      </c>
      <c r="R151" s="57" t="e">
        <f t="shared" si="25"/>
        <v>#VALUE!</v>
      </c>
      <c r="S151" s="57" t="e">
        <f t="shared" si="26"/>
        <v>#VALUE!</v>
      </c>
      <c r="T151" s="57" t="e">
        <f t="shared" si="27"/>
        <v>#VALUE!</v>
      </c>
      <c r="U151" s="84" t="str">
        <f t="shared" si="28"/>
        <v>Could not find cube GridPV</v>
      </c>
    </row>
    <row r="152" spans="15:21" x14ac:dyDescent="0.25">
      <c r="O152" t="str">
        <v>Could not find cube GridPV</v>
      </c>
      <c r="P152" t="str">
        <v>Could not find cube GridPV</v>
      </c>
      <c r="Q152" t="str">
        <v>Could not find cube GridPV</v>
      </c>
      <c r="R152" s="57" t="e">
        <f t="shared" si="25"/>
        <v>#VALUE!</v>
      </c>
      <c r="S152" s="57" t="e">
        <f t="shared" si="26"/>
        <v>#VALUE!</v>
      </c>
      <c r="T152" s="57" t="e">
        <f t="shared" si="27"/>
        <v>#VALUE!</v>
      </c>
      <c r="U152" s="84" t="str">
        <f t="shared" si="28"/>
        <v>Could not find cube GridPV</v>
      </c>
    </row>
    <row r="153" spans="15:21" x14ac:dyDescent="0.25">
      <c r="O153" t="str">
        <v>Could not find cube GridPV</v>
      </c>
      <c r="P153" t="str">
        <v>Could not find cube GridPV</v>
      </c>
      <c r="Q153" t="str">
        <v>Could not find cube GridPV</v>
      </c>
      <c r="R153" s="57" t="e">
        <f t="shared" si="25"/>
        <v>#VALUE!</v>
      </c>
      <c r="S153" s="57" t="e">
        <f t="shared" si="26"/>
        <v>#VALUE!</v>
      </c>
      <c r="T153" s="57" t="e">
        <f t="shared" si="27"/>
        <v>#VALUE!</v>
      </c>
      <c r="U153" s="84" t="str">
        <f t="shared" si="28"/>
        <v>Could not find cube GridPV</v>
      </c>
    </row>
    <row r="154" spans="15:21" x14ac:dyDescent="0.25">
      <c r="O154" t="str">
        <v>Could not find cube GridPV</v>
      </c>
      <c r="P154" t="str">
        <v>Could not find cube GridPV</v>
      </c>
      <c r="Q154" t="str">
        <v>Could not find cube GridPV</v>
      </c>
      <c r="R154" s="57" t="e">
        <f t="shared" si="25"/>
        <v>#VALUE!</v>
      </c>
      <c r="S154" s="57" t="e">
        <f t="shared" si="26"/>
        <v>#VALUE!</v>
      </c>
      <c r="T154" s="57" t="e">
        <f t="shared" si="27"/>
        <v>#VALUE!</v>
      </c>
      <c r="U154" s="84" t="str">
        <f t="shared" si="28"/>
        <v>Could not find cube GridPV</v>
      </c>
    </row>
    <row r="155" spans="15:21" x14ac:dyDescent="0.25">
      <c r="O155" t="str">
        <v>Could not find cube GridPV</v>
      </c>
      <c r="P155" t="str">
        <v>Could not find cube GridPV</v>
      </c>
      <c r="Q155" t="str">
        <v>Could not find cube GridPV</v>
      </c>
      <c r="R155" s="57" t="e">
        <f t="shared" si="25"/>
        <v>#VALUE!</v>
      </c>
      <c r="S155" s="57" t="e">
        <f t="shared" si="26"/>
        <v>#VALUE!</v>
      </c>
      <c r="T155" s="57" t="e">
        <f t="shared" si="27"/>
        <v>#VALUE!</v>
      </c>
      <c r="U155" s="84" t="str">
        <f t="shared" si="28"/>
        <v>Could not find cube GridPV</v>
      </c>
    </row>
    <row r="156" spans="15:21" x14ac:dyDescent="0.25">
      <c r="O156" t="str">
        <v>Could not find cube GridPV</v>
      </c>
      <c r="P156" t="str">
        <v>Could not find cube GridPV</v>
      </c>
      <c r="Q156" t="str">
        <v>Could not find cube GridPV</v>
      </c>
      <c r="R156" s="57" t="e">
        <f t="shared" si="25"/>
        <v>#VALUE!</v>
      </c>
      <c r="S156" s="57" t="e">
        <f t="shared" si="26"/>
        <v>#VALUE!</v>
      </c>
      <c r="T156" s="57" t="e">
        <f t="shared" si="27"/>
        <v>#VALUE!</v>
      </c>
      <c r="U156" s="84" t="str">
        <f t="shared" si="28"/>
        <v>Could not find cube GridPV</v>
      </c>
    </row>
    <row r="157" spans="15:21" x14ac:dyDescent="0.25">
      <c r="O157" t="str">
        <v>Could not find cube GridPV</v>
      </c>
      <c r="P157" t="str">
        <v>Could not find cube GridPV</v>
      </c>
      <c r="Q157" t="str">
        <v>Could not find cube GridPV</v>
      </c>
      <c r="R157" s="57" t="e">
        <f t="shared" si="25"/>
        <v>#VALUE!</v>
      </c>
      <c r="S157" s="57" t="e">
        <f t="shared" si="26"/>
        <v>#VALUE!</v>
      </c>
      <c r="T157" s="57" t="e">
        <f t="shared" si="27"/>
        <v>#VALUE!</v>
      </c>
      <c r="U157" s="84" t="str">
        <f t="shared" si="28"/>
        <v>Could not find cube GridPV</v>
      </c>
    </row>
    <row r="158" spans="15:21" x14ac:dyDescent="0.25">
      <c r="O158" t="str">
        <v>Could not find cube GridPV</v>
      </c>
      <c r="P158" t="str">
        <v>Could not find cube GridPV</v>
      </c>
      <c r="Q158" t="str">
        <v>Could not find cube GridPV</v>
      </c>
      <c r="R158" s="57" t="e">
        <f t="shared" si="25"/>
        <v>#VALUE!</v>
      </c>
      <c r="S158" s="57" t="e">
        <f t="shared" si="26"/>
        <v>#VALUE!</v>
      </c>
      <c r="T158" s="57" t="e">
        <f t="shared" si="27"/>
        <v>#VALUE!</v>
      </c>
      <c r="U158" s="84" t="str">
        <f t="shared" si="28"/>
        <v>Could not find cube GridPV</v>
      </c>
    </row>
    <row r="159" spans="15:21" x14ac:dyDescent="0.25">
      <c r="O159" t="str">
        <v>Could not find cube GridPV</v>
      </c>
      <c r="P159" t="str">
        <v>Could not find cube GridPV</v>
      </c>
      <c r="Q159" t="str">
        <v>Could not find cube GridPV</v>
      </c>
      <c r="R159" s="57" t="e">
        <f t="shared" si="25"/>
        <v>#VALUE!</v>
      </c>
      <c r="S159" s="57" t="e">
        <f t="shared" si="26"/>
        <v>#VALUE!</v>
      </c>
      <c r="T159" s="57" t="e">
        <f t="shared" si="27"/>
        <v>#VALUE!</v>
      </c>
      <c r="U159" s="84" t="str">
        <f t="shared" si="28"/>
        <v>Could not find cube GridPV</v>
      </c>
    </row>
    <row r="160" spans="15:21" x14ac:dyDescent="0.25">
      <c r="O160" t="str">
        <v>Could not find cube GridPV</v>
      </c>
      <c r="P160" t="str">
        <v>Could not find cube GridPV</v>
      </c>
      <c r="Q160" t="str">
        <v>Could not find cube GridPV</v>
      </c>
      <c r="R160" s="57" t="e">
        <f t="shared" si="25"/>
        <v>#VALUE!</v>
      </c>
      <c r="S160" s="57" t="e">
        <f t="shared" si="26"/>
        <v>#VALUE!</v>
      </c>
      <c r="T160" s="57" t="e">
        <f t="shared" si="27"/>
        <v>#VALUE!</v>
      </c>
      <c r="U160" s="84" t="str">
        <f t="shared" si="28"/>
        <v>Could not find cube GridPV</v>
      </c>
    </row>
    <row r="161" spans="15:21" x14ac:dyDescent="0.25">
      <c r="O161" t="str">
        <v>Could not find cube GridPV</v>
      </c>
      <c r="P161" t="str">
        <v>Could not find cube GridPV</v>
      </c>
      <c r="Q161" t="str">
        <v>Could not find cube GridPV</v>
      </c>
      <c r="R161" s="57" t="e">
        <f t="shared" si="25"/>
        <v>#VALUE!</v>
      </c>
      <c r="S161" s="57" t="e">
        <f t="shared" si="26"/>
        <v>#VALUE!</v>
      </c>
      <c r="T161" s="57" t="e">
        <f t="shared" si="27"/>
        <v>#VALUE!</v>
      </c>
      <c r="U161" s="84" t="str">
        <f t="shared" si="28"/>
        <v>Could not find cube GridPV</v>
      </c>
    </row>
    <row r="162" spans="15:21" x14ac:dyDescent="0.25">
      <c r="O162" t="str">
        <v>Could not find cube GridPV</v>
      </c>
      <c r="P162" t="str">
        <v>Could not find cube GridPV</v>
      </c>
      <c r="Q162" t="str">
        <v>Could not find cube GridPV</v>
      </c>
      <c r="R162" s="57" t="e">
        <f t="shared" si="25"/>
        <v>#VALUE!</v>
      </c>
      <c r="S162" s="57" t="e">
        <f t="shared" si="26"/>
        <v>#VALUE!</v>
      </c>
      <c r="T162" s="57" t="e">
        <f t="shared" si="27"/>
        <v>#VALUE!</v>
      </c>
      <c r="U162" s="84" t="str">
        <f t="shared" si="28"/>
        <v>Could not find cube GridPV</v>
      </c>
    </row>
    <row r="163" spans="15:21" x14ac:dyDescent="0.25">
      <c r="O163" t="str">
        <v>Could not find cube GridPV</v>
      </c>
      <c r="P163" t="str">
        <v>Could not find cube GridPV</v>
      </c>
      <c r="Q163" t="str">
        <v>Could not find cube GridPV</v>
      </c>
      <c r="R163" s="57" t="e">
        <f t="shared" si="25"/>
        <v>#VALUE!</v>
      </c>
      <c r="S163" s="57" t="e">
        <f t="shared" si="26"/>
        <v>#VALUE!</v>
      </c>
      <c r="T163" s="57" t="e">
        <f t="shared" si="27"/>
        <v>#VALUE!</v>
      </c>
      <c r="U163" s="84" t="str">
        <f t="shared" si="28"/>
        <v>Could not find cube GridPV</v>
      </c>
    </row>
    <row r="164" spans="15:21" x14ac:dyDescent="0.25">
      <c r="O164" t="str">
        <v>Could not find cube GridPV</v>
      </c>
      <c r="P164" t="str">
        <v>Could not find cube GridPV</v>
      </c>
      <c r="Q164" t="str">
        <v>Could not find cube GridPV</v>
      </c>
      <c r="R164" s="57" t="e">
        <f t="shared" si="25"/>
        <v>#VALUE!</v>
      </c>
      <c r="S164" s="57" t="e">
        <f t="shared" si="26"/>
        <v>#VALUE!</v>
      </c>
      <c r="T164" s="57" t="e">
        <f t="shared" si="27"/>
        <v>#VALUE!</v>
      </c>
      <c r="U164" s="84" t="str">
        <f t="shared" si="28"/>
        <v>Could not find cube GridPV</v>
      </c>
    </row>
    <row r="165" spans="15:21" x14ac:dyDescent="0.25">
      <c r="O165" t="str">
        <v>Could not find cube GridPV</v>
      </c>
      <c r="P165" t="str">
        <v>Could not find cube GridPV</v>
      </c>
      <c r="Q165" t="str">
        <v>Could not find cube GridPV</v>
      </c>
      <c r="R165" s="57" t="e">
        <f t="shared" si="25"/>
        <v>#VALUE!</v>
      </c>
      <c r="S165" s="57" t="e">
        <f t="shared" si="26"/>
        <v>#VALUE!</v>
      </c>
      <c r="T165" s="57" t="e">
        <f t="shared" si="27"/>
        <v>#VALUE!</v>
      </c>
      <c r="U165" s="84" t="str">
        <f t="shared" si="28"/>
        <v>Could not find cube GridPV</v>
      </c>
    </row>
    <row r="166" spans="15:21" x14ac:dyDescent="0.25">
      <c r="O166" t="str">
        <v>Could not find cube GridPV</v>
      </c>
      <c r="P166" t="str">
        <v>Could not find cube GridPV</v>
      </c>
      <c r="Q166" t="str">
        <v>Could not find cube GridPV</v>
      </c>
      <c r="R166" s="57" t="e">
        <f t="shared" si="25"/>
        <v>#VALUE!</v>
      </c>
      <c r="S166" s="57" t="e">
        <f t="shared" si="26"/>
        <v>#VALUE!</v>
      </c>
      <c r="T166" s="57" t="e">
        <f t="shared" si="27"/>
        <v>#VALUE!</v>
      </c>
      <c r="U166" s="84" t="str">
        <f t="shared" si="28"/>
        <v>Could not find cube GridPV</v>
      </c>
    </row>
    <row r="167" spans="15:21" x14ac:dyDescent="0.25">
      <c r="O167" t="str">
        <v>Could not find cube GridPV</v>
      </c>
      <c r="P167" t="str">
        <v>Could not find cube GridPV</v>
      </c>
      <c r="Q167" t="str">
        <v>Could not find cube GridPV</v>
      </c>
      <c r="R167" s="57" t="e">
        <f t="shared" si="25"/>
        <v>#VALUE!</v>
      </c>
      <c r="S167" s="57" t="e">
        <f t="shared" si="26"/>
        <v>#VALUE!</v>
      </c>
      <c r="T167" s="57" t="e">
        <f t="shared" si="27"/>
        <v>#VALUE!</v>
      </c>
      <c r="U167" s="84" t="str">
        <f t="shared" si="28"/>
        <v>Could not find cube GridPV</v>
      </c>
    </row>
    <row r="168" spans="15:21" x14ac:dyDescent="0.25">
      <c r="O168" t="str">
        <v>Could not find cube GridPV</v>
      </c>
      <c r="P168" t="str">
        <v>Could not find cube GridPV</v>
      </c>
      <c r="Q168" t="str">
        <v>Could not find cube GridPV</v>
      </c>
      <c r="R168" s="57" t="e">
        <f t="shared" si="25"/>
        <v>#VALUE!</v>
      </c>
      <c r="S168" s="57" t="e">
        <f t="shared" si="26"/>
        <v>#VALUE!</v>
      </c>
      <c r="T168" s="57" t="e">
        <f t="shared" si="27"/>
        <v>#VALUE!</v>
      </c>
      <c r="U168" s="84" t="str">
        <f t="shared" si="28"/>
        <v>Could not find cube GridPV</v>
      </c>
    </row>
    <row r="169" spans="15:21" x14ac:dyDescent="0.25">
      <c r="O169" t="str">
        <v>Could not find cube GridPV</v>
      </c>
      <c r="P169" t="str">
        <v>Could not find cube GridPV</v>
      </c>
      <c r="Q169" t="str">
        <v>Could not find cube GridPV</v>
      </c>
      <c r="R169" s="57" t="e">
        <f t="shared" si="25"/>
        <v>#VALUE!</v>
      </c>
      <c r="S169" s="57" t="e">
        <f t="shared" si="26"/>
        <v>#VALUE!</v>
      </c>
      <c r="T169" s="57" t="e">
        <f t="shared" si="27"/>
        <v>#VALUE!</v>
      </c>
      <c r="U169" s="84" t="str">
        <f t="shared" si="28"/>
        <v>Could not find cube GridPV</v>
      </c>
    </row>
    <row r="170" spans="15:21" x14ac:dyDescent="0.25">
      <c r="O170" t="str">
        <v>Could not find cube GridPV</v>
      </c>
      <c r="P170" t="str">
        <v>Could not find cube GridPV</v>
      </c>
      <c r="Q170" t="str">
        <v>Could not find cube GridPV</v>
      </c>
      <c r="R170" s="57" t="e">
        <f t="shared" si="25"/>
        <v>#VALUE!</v>
      </c>
      <c r="S170" s="57" t="e">
        <f t="shared" si="26"/>
        <v>#VALUE!</v>
      </c>
      <c r="T170" s="57" t="e">
        <f t="shared" si="27"/>
        <v>#VALUE!</v>
      </c>
      <c r="U170" s="84" t="str">
        <f t="shared" si="28"/>
        <v>Could not find cube GridPV</v>
      </c>
    </row>
    <row r="171" spans="15:21" x14ac:dyDescent="0.25">
      <c r="O171" t="str">
        <v>Could not find cube GridPV</v>
      </c>
      <c r="P171" t="str">
        <v>Could not find cube GridPV</v>
      </c>
      <c r="Q171" t="str">
        <v>Could not find cube GridPV</v>
      </c>
      <c r="R171" s="57" t="e">
        <f t="shared" si="25"/>
        <v>#VALUE!</v>
      </c>
      <c r="S171" s="57" t="e">
        <f t="shared" si="26"/>
        <v>#VALUE!</v>
      </c>
      <c r="T171" s="57" t="e">
        <f t="shared" si="27"/>
        <v>#VALUE!</v>
      </c>
      <c r="U171" s="84" t="str">
        <f t="shared" si="28"/>
        <v>Could not find cube GridPV</v>
      </c>
    </row>
    <row r="172" spans="15:21" x14ac:dyDescent="0.25">
      <c r="O172" t="str">
        <v>Could not find cube GridPV</v>
      </c>
      <c r="P172" t="str">
        <v>Could not find cube GridPV</v>
      </c>
      <c r="Q172" t="str">
        <v>Could not find cube GridPV</v>
      </c>
      <c r="R172" s="57" t="e">
        <f t="shared" si="25"/>
        <v>#VALUE!</v>
      </c>
      <c r="S172" s="57" t="e">
        <f t="shared" si="26"/>
        <v>#VALUE!</v>
      </c>
      <c r="T172" s="57" t="e">
        <f t="shared" si="27"/>
        <v>#VALUE!</v>
      </c>
      <c r="U172" s="84" t="str">
        <f t="shared" si="28"/>
        <v>Could not find cube GridPV</v>
      </c>
    </row>
    <row r="173" spans="15:21" x14ac:dyDescent="0.25">
      <c r="O173" t="str">
        <v>Could not find cube GridPV</v>
      </c>
      <c r="P173" t="str">
        <v>Could not find cube GridPV</v>
      </c>
      <c r="Q173" t="str">
        <v>Could not find cube GridPV</v>
      </c>
      <c r="R173" s="57" t="e">
        <f t="shared" si="25"/>
        <v>#VALUE!</v>
      </c>
      <c r="S173" s="57" t="e">
        <f t="shared" si="26"/>
        <v>#VALUE!</v>
      </c>
      <c r="T173" s="57" t="e">
        <f t="shared" si="27"/>
        <v>#VALUE!</v>
      </c>
      <c r="U173" s="84" t="str">
        <f t="shared" si="28"/>
        <v>Could not find cube GridPV</v>
      </c>
    </row>
    <row r="174" spans="15:21" x14ac:dyDescent="0.25">
      <c r="O174" t="str">
        <v>Could not find cube GridPV</v>
      </c>
      <c r="P174" t="str">
        <v>Could not find cube GridPV</v>
      </c>
      <c r="Q174" t="str">
        <v>Could not find cube GridPV</v>
      </c>
      <c r="R174" s="57" t="e">
        <f t="shared" si="25"/>
        <v>#VALUE!</v>
      </c>
      <c r="S174" s="57" t="e">
        <f t="shared" si="26"/>
        <v>#VALUE!</v>
      </c>
      <c r="T174" s="57" t="e">
        <f t="shared" si="27"/>
        <v>#VALUE!</v>
      </c>
      <c r="U174" s="84" t="str">
        <f t="shared" si="28"/>
        <v>Could not find cube GridPV</v>
      </c>
    </row>
    <row r="175" spans="15:21" x14ac:dyDescent="0.25">
      <c r="O175" t="str">
        <v>Could not find cube GridPV</v>
      </c>
      <c r="P175" t="str">
        <v>Could not find cube GridPV</v>
      </c>
      <c r="Q175" t="str">
        <v>Could not find cube GridPV</v>
      </c>
      <c r="R175" s="57" t="e">
        <f t="shared" si="25"/>
        <v>#VALUE!</v>
      </c>
      <c r="S175" s="57" t="e">
        <f t="shared" si="26"/>
        <v>#VALUE!</v>
      </c>
      <c r="T175" s="57" t="e">
        <f t="shared" si="27"/>
        <v>#VALUE!</v>
      </c>
      <c r="U175" s="84" t="str">
        <f t="shared" si="28"/>
        <v>Could not find cube GridPV</v>
      </c>
    </row>
    <row r="176" spans="15:21" x14ac:dyDescent="0.25">
      <c r="O176" t="str">
        <v>Could not find cube GridPV</v>
      </c>
      <c r="P176" t="str">
        <v>Could not find cube GridPV</v>
      </c>
      <c r="Q176" t="str">
        <v>Could not find cube GridPV</v>
      </c>
      <c r="R176" s="57" t="e">
        <f t="shared" si="25"/>
        <v>#VALUE!</v>
      </c>
      <c r="S176" s="57" t="e">
        <f t="shared" si="26"/>
        <v>#VALUE!</v>
      </c>
      <c r="T176" s="57" t="e">
        <f t="shared" si="27"/>
        <v>#VALUE!</v>
      </c>
      <c r="U176" s="84" t="str">
        <f t="shared" si="28"/>
        <v>Could not find cube GridPV</v>
      </c>
    </row>
    <row r="177" spans="15:21" x14ac:dyDescent="0.25">
      <c r="O177" t="str">
        <v>Could not find cube GridPV</v>
      </c>
      <c r="P177" t="str">
        <v>Could not find cube GridPV</v>
      </c>
      <c r="Q177" t="str">
        <v>Could not find cube GridPV</v>
      </c>
      <c r="R177" s="57" t="e">
        <f t="shared" si="25"/>
        <v>#VALUE!</v>
      </c>
      <c r="S177" s="57" t="e">
        <f t="shared" si="26"/>
        <v>#VALUE!</v>
      </c>
      <c r="T177" s="57" t="e">
        <f t="shared" si="27"/>
        <v>#VALUE!</v>
      </c>
      <c r="U177" s="84" t="str">
        <f t="shared" si="28"/>
        <v>Could not find cube GridPV</v>
      </c>
    </row>
    <row r="178" spans="15:21" x14ac:dyDescent="0.25">
      <c r="O178" t="str">
        <v>Could not find cube GridPV</v>
      </c>
      <c r="P178" t="str">
        <v>Could not find cube GridPV</v>
      </c>
      <c r="Q178" t="str">
        <v>Could not find cube GridPV</v>
      </c>
      <c r="R178" s="57" t="e">
        <f t="shared" si="25"/>
        <v>#VALUE!</v>
      </c>
      <c r="S178" s="57" t="e">
        <f t="shared" si="26"/>
        <v>#VALUE!</v>
      </c>
      <c r="T178" s="57" t="e">
        <f t="shared" si="27"/>
        <v>#VALUE!</v>
      </c>
      <c r="U178" s="84" t="str">
        <f t="shared" si="28"/>
        <v>Could not find cube GridPV</v>
      </c>
    </row>
    <row r="179" spans="15:21" x14ac:dyDescent="0.25">
      <c r="O179" t="str">
        <v>Could not find cube GridPV</v>
      </c>
      <c r="P179" t="str">
        <v>Could not find cube GridPV</v>
      </c>
      <c r="Q179" t="str">
        <v>Could not find cube GridPV</v>
      </c>
      <c r="R179" s="57" t="e">
        <f t="shared" si="25"/>
        <v>#VALUE!</v>
      </c>
      <c r="S179" s="57" t="e">
        <f t="shared" si="26"/>
        <v>#VALUE!</v>
      </c>
      <c r="T179" s="57" t="e">
        <f t="shared" si="27"/>
        <v>#VALUE!</v>
      </c>
      <c r="U179" s="84" t="str">
        <f t="shared" si="28"/>
        <v>Could not find cube GridPV</v>
      </c>
    </row>
    <row r="180" spans="15:21" x14ac:dyDescent="0.25">
      <c r="O180" t="str">
        <v>Could not find cube GridPV</v>
      </c>
      <c r="P180" t="str">
        <v>Could not find cube GridPV</v>
      </c>
      <c r="Q180" t="str">
        <v>Could not find cube GridPV</v>
      </c>
      <c r="R180" s="57" t="e">
        <f t="shared" si="25"/>
        <v>#VALUE!</v>
      </c>
      <c r="S180" s="57" t="e">
        <f t="shared" si="26"/>
        <v>#VALUE!</v>
      </c>
      <c r="T180" s="57" t="e">
        <f t="shared" si="27"/>
        <v>#VALUE!</v>
      </c>
      <c r="U180" s="84" t="str">
        <f t="shared" si="28"/>
        <v>Could not find cube GridPV</v>
      </c>
    </row>
    <row r="181" spans="15:21" x14ac:dyDescent="0.25">
      <c r="O181" t="str">
        <v>Could not find cube GridPV</v>
      </c>
      <c r="P181" t="str">
        <v>Could not find cube GridPV</v>
      </c>
      <c r="Q181" t="str">
        <v>Could not find cube GridPV</v>
      </c>
      <c r="R181" s="57" t="e">
        <f t="shared" si="25"/>
        <v>#VALUE!</v>
      </c>
      <c r="S181" s="57" t="e">
        <f t="shared" si="26"/>
        <v>#VALUE!</v>
      </c>
      <c r="T181" s="57" t="e">
        <f t="shared" si="27"/>
        <v>#VALUE!</v>
      </c>
      <c r="U181" s="84" t="str">
        <f t="shared" si="28"/>
        <v>Could not find cube GridPV</v>
      </c>
    </row>
    <row r="182" spans="15:21" x14ac:dyDescent="0.25">
      <c r="O182" t="str">
        <v>Could not find cube GridPV</v>
      </c>
      <c r="P182" t="str">
        <v>Could not find cube GridPV</v>
      </c>
      <c r="Q182" t="str">
        <v>Could not find cube GridPV</v>
      </c>
      <c r="R182" s="57" t="e">
        <f t="shared" si="25"/>
        <v>#VALUE!</v>
      </c>
      <c r="S182" s="57" t="e">
        <f t="shared" si="26"/>
        <v>#VALUE!</v>
      </c>
      <c r="T182" s="57" t="e">
        <f t="shared" si="27"/>
        <v>#VALUE!</v>
      </c>
      <c r="U182" s="84" t="str">
        <f t="shared" si="28"/>
        <v>Could not find cube GridPV</v>
      </c>
    </row>
    <row r="183" spans="15:21" x14ac:dyDescent="0.25">
      <c r="O183" t="str">
        <v>Could not find cube GridPV</v>
      </c>
      <c r="P183" t="str">
        <v>Could not find cube GridPV</v>
      </c>
      <c r="Q183" t="str">
        <v>Could not find cube GridPV</v>
      </c>
      <c r="R183" s="57" t="e">
        <f t="shared" si="25"/>
        <v>#VALUE!</v>
      </c>
      <c r="S183" s="57" t="e">
        <f t="shared" si="26"/>
        <v>#VALUE!</v>
      </c>
      <c r="T183" s="57" t="e">
        <f t="shared" si="27"/>
        <v>#VALUE!</v>
      </c>
      <c r="U183" s="84" t="str">
        <f t="shared" si="28"/>
        <v>Could not find cube GridPV</v>
      </c>
    </row>
    <row r="184" spans="15:21" x14ac:dyDescent="0.25">
      <c r="O184" t="str">
        <v>Could not find cube GridPV</v>
      </c>
      <c r="P184" t="str">
        <v>Could not find cube GridPV</v>
      </c>
      <c r="Q184" t="str">
        <v>Could not find cube GridPV</v>
      </c>
      <c r="R184" s="57" t="e">
        <f t="shared" si="25"/>
        <v>#VALUE!</v>
      </c>
      <c r="S184" s="57" t="e">
        <f t="shared" si="26"/>
        <v>#VALUE!</v>
      </c>
      <c r="T184" s="57" t="e">
        <f t="shared" si="27"/>
        <v>#VALUE!</v>
      </c>
      <c r="U184" s="84" t="str">
        <f t="shared" si="28"/>
        <v>Could not find cube GridPV</v>
      </c>
    </row>
    <row r="185" spans="15:21" x14ac:dyDescent="0.25">
      <c r="O185" t="str">
        <v>Could not find cube GridPV</v>
      </c>
      <c r="P185" t="str">
        <v>Could not find cube GridPV</v>
      </c>
      <c r="Q185" t="str">
        <v>Could not find cube GridPV</v>
      </c>
      <c r="R185" s="57" t="e">
        <f t="shared" si="25"/>
        <v>#VALUE!</v>
      </c>
      <c r="S185" s="57" t="e">
        <f t="shared" si="26"/>
        <v>#VALUE!</v>
      </c>
      <c r="T185" s="57" t="e">
        <f t="shared" si="27"/>
        <v>#VALUE!</v>
      </c>
      <c r="U185" s="84" t="str">
        <f t="shared" si="28"/>
        <v>Could not find cube GridPV</v>
      </c>
    </row>
    <row r="186" spans="15:21" x14ac:dyDescent="0.25">
      <c r="O186" t="str">
        <v>Could not find cube GridPV</v>
      </c>
      <c r="P186" t="str">
        <v>Could not find cube GridPV</v>
      </c>
      <c r="Q186" t="str">
        <v>Could not find cube GridPV</v>
      </c>
      <c r="R186" s="57" t="e">
        <f t="shared" si="25"/>
        <v>#VALUE!</v>
      </c>
      <c r="S186" s="57" t="e">
        <f t="shared" si="26"/>
        <v>#VALUE!</v>
      </c>
      <c r="T186" s="57" t="e">
        <f t="shared" si="27"/>
        <v>#VALUE!</v>
      </c>
      <c r="U186" s="84" t="str">
        <f t="shared" si="28"/>
        <v>Could not find cube GridPV</v>
      </c>
    </row>
    <row r="187" spans="15:21" x14ac:dyDescent="0.25">
      <c r="O187" t="str">
        <v>Could not find cube GridPV</v>
      </c>
      <c r="P187" t="str">
        <v>Could not find cube GridPV</v>
      </c>
      <c r="Q187" t="str">
        <v>Could not find cube GridPV</v>
      </c>
      <c r="R187" s="57" t="e">
        <f t="shared" si="25"/>
        <v>#VALUE!</v>
      </c>
      <c r="S187" s="57" t="e">
        <f t="shared" si="26"/>
        <v>#VALUE!</v>
      </c>
      <c r="T187" s="57" t="e">
        <f t="shared" si="27"/>
        <v>#VALUE!</v>
      </c>
      <c r="U187" s="84" t="str">
        <f t="shared" si="28"/>
        <v>Could not find cube GridPV</v>
      </c>
    </row>
    <row r="188" spans="15:21" x14ac:dyDescent="0.25">
      <c r="O188" t="str">
        <v>Could not find cube GridPV</v>
      </c>
      <c r="P188" t="str">
        <v>Could not find cube GridPV</v>
      </c>
      <c r="Q188" t="str">
        <v>Could not find cube GridPV</v>
      </c>
      <c r="R188" s="57" t="e">
        <f t="shared" si="25"/>
        <v>#VALUE!</v>
      </c>
      <c r="S188" s="57" t="e">
        <f t="shared" si="26"/>
        <v>#VALUE!</v>
      </c>
      <c r="T188" s="57" t="e">
        <f t="shared" si="27"/>
        <v>#VALUE!</v>
      </c>
      <c r="U188" s="84" t="str">
        <f t="shared" si="28"/>
        <v>Could not find cube GridPV</v>
      </c>
    </row>
    <row r="189" spans="15:21" x14ac:dyDescent="0.25">
      <c r="O189" t="str">
        <v>Could not find cube GridPV</v>
      </c>
      <c r="P189" t="str">
        <v>Could not find cube GridPV</v>
      </c>
      <c r="Q189" t="str">
        <v>Could not find cube GridPV</v>
      </c>
      <c r="R189" s="57" t="e">
        <f t="shared" si="25"/>
        <v>#VALUE!</v>
      </c>
      <c r="S189" s="57" t="e">
        <f t="shared" si="26"/>
        <v>#VALUE!</v>
      </c>
      <c r="T189" s="57" t="e">
        <f t="shared" si="27"/>
        <v>#VALUE!</v>
      </c>
      <c r="U189" s="84" t="str">
        <f t="shared" si="28"/>
        <v>Could not find cube GridPV</v>
      </c>
    </row>
    <row r="190" spans="15:21" x14ac:dyDescent="0.25">
      <c r="O190" t="str">
        <v>Could not find cube GridPV</v>
      </c>
      <c r="P190" t="str">
        <v>Could not find cube GridPV</v>
      </c>
      <c r="Q190" t="str">
        <v>Could not find cube GridPV</v>
      </c>
      <c r="R190" s="57" t="e">
        <f t="shared" si="25"/>
        <v>#VALUE!</v>
      </c>
      <c r="S190" s="57" t="e">
        <f t="shared" si="26"/>
        <v>#VALUE!</v>
      </c>
      <c r="T190" s="57" t="e">
        <f t="shared" si="27"/>
        <v>#VALUE!</v>
      </c>
      <c r="U190" s="84" t="str">
        <f t="shared" si="28"/>
        <v>Could not find cube GridPV</v>
      </c>
    </row>
    <row r="191" spans="15:21" x14ac:dyDescent="0.25">
      <c r="O191" t="str">
        <v>Could not find cube GridPV</v>
      </c>
      <c r="P191" t="str">
        <v>Could not find cube GridPV</v>
      </c>
      <c r="Q191" t="str">
        <v>Could not find cube GridPV</v>
      </c>
      <c r="R191" s="57" t="e">
        <f t="shared" si="25"/>
        <v>#VALUE!</v>
      </c>
      <c r="S191" s="57" t="e">
        <f t="shared" si="26"/>
        <v>#VALUE!</v>
      </c>
      <c r="T191" s="57" t="e">
        <f t="shared" si="27"/>
        <v>#VALUE!</v>
      </c>
      <c r="U191" s="84" t="str">
        <f t="shared" si="28"/>
        <v>Could not find cube GridPV</v>
      </c>
    </row>
    <row r="192" spans="15:21" x14ac:dyDescent="0.25">
      <c r="O192" t="str">
        <v>Could not find cube GridPV</v>
      </c>
      <c r="P192" t="str">
        <v>Could not find cube GridPV</v>
      </c>
      <c r="Q192" t="str">
        <v>Could not find cube GridPV</v>
      </c>
      <c r="R192" s="57" t="e">
        <f t="shared" si="25"/>
        <v>#VALUE!</v>
      </c>
      <c r="S192" s="57" t="e">
        <f t="shared" si="26"/>
        <v>#VALUE!</v>
      </c>
      <c r="T192" s="57" t="e">
        <f t="shared" si="27"/>
        <v>#VALUE!</v>
      </c>
      <c r="U192" s="84" t="str">
        <f t="shared" si="28"/>
        <v>Could not find cube GridPV</v>
      </c>
    </row>
    <row r="193" spans="15:21" x14ac:dyDescent="0.25">
      <c r="O193" t="str">
        <v>Could not find cube GridPV</v>
      </c>
      <c r="P193" t="str">
        <v>Could not find cube GridPV</v>
      </c>
      <c r="Q193" t="str">
        <v>Could not find cube GridPV</v>
      </c>
      <c r="R193" s="57" t="e">
        <f t="shared" si="25"/>
        <v>#VALUE!</v>
      </c>
      <c r="S193" s="57" t="e">
        <f t="shared" si="26"/>
        <v>#VALUE!</v>
      </c>
      <c r="T193" s="57" t="e">
        <f t="shared" si="27"/>
        <v>#VALUE!</v>
      </c>
      <c r="U193" s="84" t="str">
        <f t="shared" si="28"/>
        <v>Could not find cube GridPV</v>
      </c>
    </row>
  </sheetData>
  <mergeCells count="2">
    <mergeCell ref="H52:I52"/>
    <mergeCell ref="J52:K52"/>
  </mergeCells>
  <dataValidations count="1">
    <dataValidation type="list" allowBlank="1" showInputMessage="1" showErrorMessage="1" sqref="P12" xr:uid="{2A010FB8-B2F3-4164-95B0-E458511B0B76}">
      <formula1>"On,Off"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FundingFx</vt:lpstr>
      <vt:lpstr>MetalCurves</vt:lpstr>
      <vt:lpstr>SwapPricer</vt:lpstr>
      <vt:lpstr>CustomSwap</vt:lpstr>
      <vt:lpstr>OptionPricer</vt:lpstr>
      <vt:lpstr>FxOptionPricer</vt:lpstr>
      <vt:lpstr>BackPricing</vt:lpstr>
      <vt:lpstr>CompoVolSolver</vt:lpstr>
      <vt:lpstr>cashDate</vt:lpstr>
      <vt:lpstr>m3Date</vt:lpstr>
      <vt:lpstr>ValDate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Brennan</dc:creator>
  <cp:lastModifiedBy>Gavin Brennan</cp:lastModifiedBy>
  <dcterms:created xsi:type="dcterms:W3CDTF">2018-08-31T09:39:22Z</dcterms:created>
  <dcterms:modified xsi:type="dcterms:W3CDTF">2019-01-18T12:41:22Z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