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C5211785-A604-4DA7-9EFD-869D4C33AA42}" xr6:coauthVersionLast="31" xr6:coauthVersionMax="31" xr10:uidLastSave="{00000000-0000-0000-0000-000000000000}"/>
  <bookViews>
    <workbookView xWindow="0" yWindow="21090" windowWidth="19200" windowHeight="11955" xr2:uid="{00000000-000D-0000-FFFF-FFFF00000000}"/>
  </bookViews>
  <sheets>
    <sheet name="FundingFx" sheetId="2" r:id="rId1"/>
    <sheet name="EnergyCurves" sheetId="1" r:id="rId2"/>
    <sheet name="SwapPricer" sheetId="14" r:id="rId3"/>
    <sheet name="Sheet1" sheetId="13" r:id="rId4"/>
  </sheets>
  <externalReferences>
    <externalReference r:id="rId5"/>
    <externalReference r:id="rId6"/>
  </externalReferences>
  <definedNames>
    <definedName name="CDate">'[1]i. Net Risk'!$C$6</definedName>
    <definedName name="ConfigTable">'[1]Config Sheet'!$C$4:$D$80</definedName>
    <definedName name="CurrentDate">'[1]i. Net Risk'!$C$6</definedName>
    <definedName name="m3Date">[2]MetalCurves!$B$2</definedName>
    <definedName name="ValDate" localSheetId="2">[2]MetalCurves!$B$1</definedName>
    <definedName name="ValDate">EnergyCurves!$B$1</definedName>
    <definedName name="ZARPublicHolidays">'[1]Other Curves'!$O$7:$O$1221</definedName>
  </definedNames>
  <calcPr calcId="17901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4" l="1"/>
  <c r="AB15" i="1"/>
  <c r="E16" i="14" l="1"/>
  <c r="N3" i="14"/>
  <c r="N4" i="14"/>
  <c r="N5" i="14"/>
  <c r="N6" i="14"/>
  <c r="N7" i="14"/>
  <c r="N2" i="14"/>
  <c r="E17" i="14" l="1"/>
  <c r="F3" i="14"/>
  <c r="H3" i="14"/>
  <c r="J3" i="14"/>
  <c r="F4" i="14"/>
  <c r="H4" i="14"/>
  <c r="J4" i="14"/>
  <c r="F5" i="14"/>
  <c r="H5" i="14"/>
  <c r="J5" i="14"/>
  <c r="F6" i="14"/>
  <c r="H6" i="14"/>
  <c r="J6" i="14"/>
  <c r="F7" i="14"/>
  <c r="H7" i="14"/>
  <c r="J7" i="14"/>
  <c r="C4" i="14"/>
  <c r="C5" i="14" s="1"/>
  <c r="C6" i="14" s="1"/>
  <c r="C7" i="14" s="1"/>
  <c r="J2" i="14"/>
  <c r="H2" i="14"/>
  <c r="F2" i="14"/>
  <c r="B16" i="2"/>
  <c r="K6" i="14"/>
  <c r="B21" i="2"/>
  <c r="K2" i="14"/>
  <c r="K4" i="14"/>
  <c r="K5" i="14"/>
  <c r="K3" i="14"/>
  <c r="K7" i="14"/>
  <c r="B15" i="2"/>
  <c r="E18" i="14" l="1"/>
  <c r="E16" i="2"/>
  <c r="C13" i="2"/>
  <c r="C12" i="2"/>
  <c r="C11" i="2"/>
  <c r="C10" i="2"/>
  <c r="C9" i="2"/>
  <c r="C8" i="2"/>
  <c r="C7" i="2"/>
  <c r="C6" i="2"/>
  <c r="C5" i="2"/>
  <c r="C4" i="2"/>
  <c r="C3" i="2"/>
  <c r="C2" i="2"/>
  <c r="G2" i="2"/>
  <c r="L4" i="2"/>
  <c r="L14" i="2"/>
  <c r="L2" i="2"/>
  <c r="L9" i="2"/>
  <c r="L13" i="2"/>
  <c r="L11" i="2"/>
  <c r="L12" i="2"/>
  <c r="L7" i="2"/>
  <c r="L10" i="2"/>
  <c r="L5" i="2"/>
  <c r="L3" i="2"/>
  <c r="L6" i="2"/>
  <c r="L8" i="2"/>
  <c r="B17" i="2"/>
  <c r="C1" i="2"/>
  <c r="D12" i="2"/>
  <c r="D11" i="2"/>
  <c r="D8" i="2"/>
  <c r="D9" i="2"/>
  <c r="D5" i="2"/>
  <c r="D4" i="2"/>
  <c r="D2" i="2"/>
  <c r="D13" i="2"/>
  <c r="D7" i="2"/>
  <c r="D10" i="2"/>
  <c r="A4" i="1"/>
  <c r="E10" i="2"/>
  <c r="E8" i="2"/>
  <c r="E7" i="2"/>
  <c r="E2" i="2"/>
  <c r="J4" i="1"/>
  <c r="E9" i="2"/>
  <c r="AA147" i="1"/>
  <c r="E5" i="2"/>
  <c r="E12" i="2"/>
  <c r="E11" i="2"/>
  <c r="E4" i="2"/>
  <c r="E13" i="2"/>
  <c r="G3" i="2"/>
  <c r="D6" i="2"/>
  <c r="D3" i="2"/>
  <c r="AA148" i="1"/>
  <c r="E3" i="2"/>
  <c r="J5" i="1"/>
  <c r="I2" i="2"/>
  <c r="AD147" i="1"/>
  <c r="G4" i="2"/>
  <c r="A5" i="1"/>
  <c r="AC147" i="1"/>
  <c r="B4" i="1"/>
  <c r="K4" i="1"/>
  <c r="AE147" i="1"/>
  <c r="E6" i="2"/>
  <c r="AA149" i="1"/>
  <c r="AC149" i="1"/>
  <c r="AB147" i="1"/>
  <c r="AD148" i="1"/>
  <c r="AE149" i="1"/>
  <c r="AD149" i="1"/>
  <c r="E19" i="14" l="1"/>
  <c r="W6" i="1"/>
  <c r="X6" i="1" s="1"/>
  <c r="T6" i="1"/>
  <c r="U6" i="1" s="1"/>
  <c r="O4" i="1"/>
  <c r="F4" i="1"/>
  <c r="E4" i="1"/>
  <c r="N4" i="1"/>
  <c r="AB149" i="1"/>
  <c r="AA150" i="1"/>
  <c r="A6" i="1"/>
  <c r="AE150" i="1"/>
  <c r="B6" i="1"/>
  <c r="AC148" i="1"/>
  <c r="AE148" i="1"/>
  <c r="G5" i="2"/>
  <c r="J6" i="1"/>
  <c r="K5" i="1"/>
  <c r="I3" i="2"/>
  <c r="B5" i="1"/>
  <c r="AB148" i="1"/>
  <c r="AC150" i="1"/>
  <c r="E20" i="14" l="1"/>
  <c r="T7" i="1"/>
  <c r="U7" i="1" s="1"/>
  <c r="T8" i="1"/>
  <c r="U8" i="1" s="1"/>
  <c r="W7" i="1"/>
  <c r="X7" i="1" s="1"/>
  <c r="N5" i="1"/>
  <c r="O5" i="1"/>
  <c r="E5" i="1"/>
  <c r="F5" i="1"/>
  <c r="A7" i="1"/>
  <c r="B7" i="1"/>
  <c r="AB150" i="1"/>
  <c r="A8" i="1"/>
  <c r="I4" i="2"/>
  <c r="K6" i="1"/>
  <c r="AD150" i="1"/>
  <c r="A9" i="1"/>
  <c r="AA151" i="1"/>
  <c r="AE151" i="1" s="1"/>
  <c r="G6" i="2"/>
  <c r="J7" i="1"/>
  <c r="AB151" i="1"/>
  <c r="B8" i="1"/>
  <c r="AD151" i="1"/>
  <c r="E21" i="14" l="1"/>
  <c r="T9" i="1"/>
  <c r="U9" i="1" s="1"/>
  <c r="F6" i="1"/>
  <c r="E6" i="1"/>
  <c r="W8" i="1"/>
  <c r="X8" i="1" s="1"/>
  <c r="O6" i="1"/>
  <c r="N6" i="1"/>
  <c r="T10" i="1"/>
  <c r="U10" i="1" s="1"/>
  <c r="K7" i="1"/>
  <c r="A10" i="1"/>
  <c r="AA152" i="1"/>
  <c r="B9" i="1"/>
  <c r="I5" i="2"/>
  <c r="G7" i="2"/>
  <c r="AB152" i="1"/>
  <c r="J8" i="1"/>
  <c r="AC151" i="1"/>
  <c r="AC152" i="1"/>
  <c r="AE152" i="1"/>
  <c r="E22" i="14" l="1"/>
  <c r="F7" i="1"/>
  <c r="E7" i="1"/>
  <c r="F8" i="1"/>
  <c r="E8" i="1"/>
  <c r="W9" i="1"/>
  <c r="X9" i="1" s="1"/>
  <c r="O7" i="1"/>
  <c r="N7" i="1"/>
  <c r="E9" i="1"/>
  <c r="T11" i="1"/>
  <c r="U11" i="1" s="1"/>
  <c r="F9" i="1"/>
  <c r="G8" i="2"/>
  <c r="K8" i="1"/>
  <c r="B10" i="1"/>
  <c r="AD152" i="1"/>
  <c r="J9" i="1"/>
  <c r="I6" i="2"/>
  <c r="A11" i="1"/>
  <c r="AA153" i="1"/>
  <c r="AD153" i="1"/>
  <c r="AB153" i="1"/>
  <c r="AA154" i="1"/>
  <c r="AC153" i="1"/>
  <c r="AD154" i="1"/>
  <c r="AE154" i="1"/>
  <c r="AC154" i="1"/>
  <c r="E23" i="14" l="1"/>
  <c r="W10" i="1"/>
  <c r="X10" i="1" s="1"/>
  <c r="N8" i="1"/>
  <c r="O8" i="1"/>
  <c r="T12" i="1"/>
  <c r="U12" i="1" s="1"/>
  <c r="F10" i="1"/>
  <c r="E10" i="1"/>
  <c r="G12" i="14"/>
  <c r="AA155" i="1"/>
  <c r="AE153" i="1"/>
  <c r="J10" i="1"/>
  <c r="AB154" i="1"/>
  <c r="B11" i="1"/>
  <c r="G9" i="2"/>
  <c r="A12" i="1"/>
  <c r="B12" i="1" s="1"/>
  <c r="A13" i="1"/>
  <c r="K9" i="1"/>
  <c r="I7" i="2"/>
  <c r="AA156" i="1"/>
  <c r="AE156" i="1"/>
  <c r="AD155" i="1"/>
  <c r="AC155" i="1"/>
  <c r="AB155" i="1"/>
  <c r="J11" i="1"/>
  <c r="K10" i="1"/>
  <c r="AD156" i="1"/>
  <c r="AA157" i="1"/>
  <c r="AC156" i="1"/>
  <c r="J12" i="1"/>
  <c r="K11" i="1"/>
  <c r="AD157" i="1"/>
  <c r="AE157" i="1"/>
  <c r="AB157" i="1"/>
  <c r="AA158" i="1"/>
  <c r="AC157" i="1"/>
  <c r="K12" i="1"/>
  <c r="J13" i="1"/>
  <c r="AA159" i="1"/>
  <c r="AD158" i="1"/>
  <c r="AC158" i="1"/>
  <c r="AE158" i="1"/>
  <c r="AB158" i="1"/>
  <c r="K13" i="1"/>
  <c r="J14" i="1"/>
  <c r="AB159" i="1"/>
  <c r="AC159" i="1"/>
  <c r="AD159" i="1"/>
  <c r="AE159" i="1"/>
  <c r="AA160" i="1"/>
  <c r="J15" i="1"/>
  <c r="K14" i="1"/>
  <c r="AA161" i="1"/>
  <c r="AC160" i="1"/>
  <c r="AB160" i="1"/>
  <c r="AE160" i="1"/>
  <c r="AD160" i="1"/>
  <c r="K15" i="1"/>
  <c r="J16" i="1"/>
  <c r="AE161" i="1"/>
  <c r="AB161" i="1"/>
  <c r="AA162" i="1"/>
  <c r="AD161" i="1"/>
  <c r="AC161" i="1"/>
  <c r="J17" i="1"/>
  <c r="K16" i="1"/>
  <c r="AC162" i="1"/>
  <c r="AD162" i="1"/>
  <c r="AA163" i="1"/>
  <c r="AE162" i="1"/>
  <c r="AB162" i="1"/>
  <c r="J18" i="1"/>
  <c r="K17" i="1"/>
  <c r="AE163" i="1"/>
  <c r="AC163" i="1"/>
  <c r="AD163" i="1"/>
  <c r="AA164" i="1"/>
  <c r="AB163" i="1"/>
  <c r="K18" i="1"/>
  <c r="J19" i="1"/>
  <c r="AE164" i="1"/>
  <c r="AD164" i="1"/>
  <c r="AC164" i="1"/>
  <c r="AB164" i="1"/>
  <c r="AA165" i="1"/>
  <c r="J20" i="1"/>
  <c r="K19" i="1"/>
  <c r="AB165" i="1"/>
  <c r="AE165" i="1"/>
  <c r="AC165" i="1"/>
  <c r="AD165" i="1"/>
  <c r="AA166" i="1"/>
  <c r="K20" i="1"/>
  <c r="J21" i="1"/>
  <c r="AA167" i="1"/>
  <c r="AD166" i="1"/>
  <c r="AC166" i="1"/>
  <c r="AB166" i="1"/>
  <c r="AE166" i="1"/>
  <c r="K21" i="1"/>
  <c r="J22" i="1"/>
  <c r="AB167" i="1"/>
  <c r="AA168" i="1"/>
  <c r="AC167" i="1"/>
  <c r="AE167" i="1"/>
  <c r="AD167" i="1"/>
  <c r="K22" i="1"/>
  <c r="J23" i="1"/>
  <c r="AA169" i="1"/>
  <c r="AD168" i="1"/>
  <c r="AE168" i="1"/>
  <c r="AC168" i="1"/>
  <c r="AB168" i="1"/>
  <c r="K23" i="1"/>
  <c r="J24" i="1"/>
  <c r="AA170" i="1"/>
  <c r="AB169" i="1"/>
  <c r="AD169" i="1"/>
  <c r="AE169" i="1"/>
  <c r="AC169" i="1"/>
  <c r="K24" i="1"/>
  <c r="J25" i="1"/>
  <c r="AD170" i="1"/>
  <c r="AC170" i="1"/>
  <c r="AB170" i="1"/>
  <c r="AE170" i="1"/>
  <c r="J26" i="1"/>
  <c r="K25" i="1"/>
  <c r="J27" i="1"/>
  <c r="K26" i="1"/>
  <c r="J28" i="1"/>
  <c r="K27" i="1"/>
  <c r="K28" i="1"/>
  <c r="J29" i="1"/>
  <c r="K29" i="1"/>
  <c r="J30" i="1"/>
  <c r="K30" i="1"/>
  <c r="J31" i="1"/>
  <c r="K31" i="1"/>
  <c r="J32" i="1"/>
  <c r="K32" i="1"/>
  <c r="J33" i="1"/>
  <c r="J34" i="1"/>
  <c r="K33" i="1"/>
  <c r="K34" i="1"/>
  <c r="J35" i="1"/>
  <c r="J36" i="1"/>
  <c r="K35" i="1"/>
  <c r="J37" i="1"/>
  <c r="K36" i="1"/>
  <c r="K37" i="1"/>
  <c r="J38" i="1"/>
  <c r="K38" i="1"/>
  <c r="J39" i="1"/>
  <c r="K39" i="1"/>
  <c r="J40" i="1"/>
  <c r="J41" i="1"/>
  <c r="K40" i="1"/>
  <c r="J42" i="1"/>
  <c r="K41" i="1"/>
  <c r="J43" i="1"/>
  <c r="K42" i="1"/>
  <c r="K43" i="1"/>
  <c r="J44" i="1"/>
  <c r="J45" i="1"/>
  <c r="K44" i="1"/>
  <c r="K45" i="1"/>
  <c r="J46" i="1"/>
  <c r="J47" i="1"/>
  <c r="K46" i="1"/>
  <c r="J48" i="1"/>
  <c r="K47" i="1"/>
  <c r="K48" i="1"/>
  <c r="J49" i="1"/>
  <c r="K49" i="1"/>
  <c r="J50" i="1"/>
  <c r="K50" i="1"/>
  <c r="J51" i="1"/>
  <c r="J52" i="1"/>
  <c r="K51" i="1"/>
  <c r="K52" i="1"/>
  <c r="J53" i="1"/>
  <c r="K53" i="1"/>
  <c r="J54" i="1"/>
  <c r="J55" i="1"/>
  <c r="K54" i="1"/>
  <c r="K55" i="1"/>
  <c r="J56" i="1"/>
  <c r="J57" i="1"/>
  <c r="K56" i="1"/>
  <c r="J58" i="1"/>
  <c r="K57" i="1"/>
  <c r="J59" i="1"/>
  <c r="K58" i="1"/>
  <c r="J60" i="1"/>
  <c r="K59" i="1"/>
  <c r="K60" i="1"/>
  <c r="J61" i="1"/>
  <c r="J62" i="1"/>
  <c r="K61" i="1"/>
  <c r="J63" i="1"/>
  <c r="K62" i="1"/>
  <c r="J64" i="1"/>
  <c r="K63" i="1"/>
  <c r="J65" i="1"/>
  <c r="K64" i="1"/>
  <c r="K65" i="1"/>
  <c r="W28" i="1" l="1"/>
  <c r="X28" i="1" s="1"/>
  <c r="W27" i="1"/>
  <c r="X27" i="1" s="1"/>
  <c r="W26" i="1"/>
  <c r="X26" i="1" s="1"/>
  <c r="W25" i="1"/>
  <c r="X25" i="1" s="1"/>
  <c r="W24" i="1"/>
  <c r="X24" i="1" s="1"/>
  <c r="W23" i="1"/>
  <c r="X23" i="1" s="1"/>
  <c r="W22" i="1"/>
  <c r="X22" i="1" s="1"/>
  <c r="W21" i="1"/>
  <c r="X21" i="1" s="1"/>
  <c r="W20" i="1"/>
  <c r="X20" i="1" s="1"/>
  <c r="W19" i="1"/>
  <c r="X19" i="1" s="1"/>
  <c r="W18" i="1"/>
  <c r="X18" i="1" s="1"/>
  <c r="W17" i="1"/>
  <c r="X17" i="1" s="1"/>
  <c r="W16" i="1"/>
  <c r="X16" i="1" s="1"/>
  <c r="W15" i="1"/>
  <c r="X15" i="1" s="1"/>
  <c r="W14" i="1"/>
  <c r="X14" i="1" s="1"/>
  <c r="W13" i="1"/>
  <c r="X13" i="1" s="1"/>
  <c r="W12" i="1"/>
  <c r="X12" i="1" s="1"/>
  <c r="W11" i="1"/>
  <c r="X11" i="1" s="1"/>
  <c r="O9" i="1"/>
  <c r="N9" i="1"/>
  <c r="T14" i="1"/>
  <c r="U14" i="1" s="1"/>
  <c r="T13" i="1"/>
  <c r="U13" i="1" s="1"/>
  <c r="F11" i="1"/>
  <c r="E11" i="1"/>
  <c r="B13" i="1"/>
  <c r="A14" i="1"/>
  <c r="B14" i="1"/>
  <c r="A15" i="1"/>
  <c r="I8" i="2"/>
  <c r="B15" i="1"/>
  <c r="AE155" i="1"/>
  <c r="AB156" i="1"/>
  <c r="G10" i="2"/>
  <c r="G11" i="2"/>
  <c r="N16" i="1" l="1"/>
  <c r="O34" i="1"/>
  <c r="N50" i="1"/>
  <c r="O14" i="1"/>
  <c r="O22" i="1"/>
  <c r="O27" i="1"/>
  <c r="N42" i="1"/>
  <c r="O50" i="1"/>
  <c r="O17" i="1"/>
  <c r="O31" i="1"/>
  <c r="O43" i="1"/>
  <c r="N51" i="1"/>
  <c r="N11" i="1"/>
  <c r="N13" i="1"/>
  <c r="O19" i="1"/>
  <c r="O21" i="1"/>
  <c r="N23" i="1"/>
  <c r="N25" i="1"/>
  <c r="N31" i="1"/>
  <c r="N35" i="1"/>
  <c r="N39" i="1"/>
  <c r="N43" i="1"/>
  <c r="N47" i="1"/>
  <c r="O51" i="1"/>
  <c r="N55" i="1"/>
  <c r="N59" i="1"/>
  <c r="O63" i="1"/>
  <c r="O13" i="1"/>
  <c r="O15" i="1"/>
  <c r="N17" i="1"/>
  <c r="N19" i="1"/>
  <c r="O23" i="1"/>
  <c r="O25" i="1"/>
  <c r="N28" i="1"/>
  <c r="N32" i="1"/>
  <c r="N36" i="1"/>
  <c r="O40" i="1"/>
  <c r="O44" i="1"/>
  <c r="O48" i="1"/>
  <c r="O52" i="1"/>
  <c r="O56" i="1"/>
  <c r="N60" i="1"/>
  <c r="N64" i="1"/>
  <c r="O58" i="1"/>
  <c r="O38" i="1"/>
  <c r="O54" i="1"/>
  <c r="O39" i="1"/>
  <c r="O59" i="1"/>
  <c r="N21" i="1"/>
  <c r="O28" i="1"/>
  <c r="O32" i="1"/>
  <c r="O36" i="1"/>
  <c r="N40" i="1"/>
  <c r="N44" i="1"/>
  <c r="N48" i="1"/>
  <c r="N52" i="1"/>
  <c r="N56" i="1"/>
  <c r="O60" i="1"/>
  <c r="O64" i="1"/>
  <c r="N14" i="1"/>
  <c r="O20" i="1"/>
  <c r="O30" i="1"/>
  <c r="N38" i="1"/>
  <c r="O42" i="1"/>
  <c r="N54" i="1"/>
  <c r="O62" i="1"/>
  <c r="N24" i="1"/>
  <c r="N30" i="1"/>
  <c r="N46" i="1"/>
  <c r="N62" i="1"/>
  <c r="O11" i="1"/>
  <c r="N15" i="1"/>
  <c r="N27" i="1"/>
  <c r="O47" i="1"/>
  <c r="N63" i="1"/>
  <c r="O10" i="1"/>
  <c r="O12" i="1"/>
  <c r="N18" i="1"/>
  <c r="N20" i="1"/>
  <c r="N26" i="1"/>
  <c r="O29" i="1"/>
  <c r="N33" i="1"/>
  <c r="O37" i="1"/>
  <c r="O41" i="1"/>
  <c r="N45" i="1"/>
  <c r="N49" i="1"/>
  <c r="N53" i="1"/>
  <c r="N57" i="1"/>
  <c r="O61" i="1"/>
  <c r="N65" i="1"/>
  <c r="N12" i="1"/>
  <c r="O46" i="1"/>
  <c r="N34" i="1"/>
  <c r="N58" i="1"/>
  <c r="O35" i="1"/>
  <c r="O55" i="1"/>
  <c r="N10" i="1"/>
  <c r="O16" i="1"/>
  <c r="O18" i="1"/>
  <c r="N22" i="1"/>
  <c r="O24" i="1"/>
  <c r="O26" i="1"/>
  <c r="N29" i="1"/>
  <c r="O33" i="1"/>
  <c r="N37" i="1"/>
  <c r="N41" i="1"/>
  <c r="O45" i="1"/>
  <c r="O49" i="1"/>
  <c r="O53" i="1"/>
  <c r="O57" i="1"/>
  <c r="N61" i="1"/>
  <c r="O65" i="1"/>
  <c r="T17" i="1"/>
  <c r="T16" i="1"/>
  <c r="U16" i="1" s="1"/>
  <c r="T15" i="1"/>
  <c r="U15" i="1" s="1"/>
  <c r="F12" i="1"/>
  <c r="F13" i="1"/>
  <c r="E13" i="1"/>
  <c r="E12" i="1"/>
  <c r="A16" i="1"/>
  <c r="B23" i="2"/>
  <c r="I10" i="2"/>
  <c r="G12" i="2"/>
  <c r="I9" i="2"/>
  <c r="A17" i="1"/>
  <c r="B16" i="1"/>
  <c r="A18" i="1"/>
  <c r="B17" i="1"/>
  <c r="A19" i="1"/>
  <c r="B18" i="1"/>
  <c r="B19" i="1"/>
  <c r="A20" i="1"/>
  <c r="B20" i="1"/>
  <c r="A21" i="1"/>
  <c r="B21" i="1"/>
  <c r="A22" i="1"/>
  <c r="A23" i="1"/>
  <c r="B22" i="1"/>
  <c r="B23" i="1"/>
  <c r="A24" i="1"/>
  <c r="A25" i="1"/>
  <c r="B24" i="1"/>
  <c r="B25" i="1"/>
  <c r="A26" i="1"/>
  <c r="A27" i="1"/>
  <c r="B26" i="1"/>
  <c r="A28" i="1"/>
  <c r="B27" i="1"/>
  <c r="A29" i="1"/>
  <c r="B28" i="1"/>
  <c r="B29" i="1"/>
  <c r="A30" i="1"/>
  <c r="A31" i="1"/>
  <c r="B30" i="1"/>
  <c r="B31" i="1"/>
  <c r="A32" i="1"/>
  <c r="A33" i="1"/>
  <c r="B32" i="1"/>
  <c r="A34" i="1"/>
  <c r="B33" i="1"/>
  <c r="A35" i="1"/>
  <c r="B34" i="1"/>
  <c r="A36" i="1"/>
  <c r="B35" i="1"/>
  <c r="B36" i="1"/>
  <c r="A37" i="1"/>
  <c r="A38" i="1"/>
  <c r="B37" i="1"/>
  <c r="B38" i="1"/>
  <c r="A39" i="1"/>
  <c r="B39" i="1"/>
  <c r="A40" i="1"/>
  <c r="A41" i="1"/>
  <c r="B40" i="1"/>
  <c r="A42" i="1"/>
  <c r="B41" i="1"/>
  <c r="B42" i="1"/>
  <c r="A43" i="1"/>
  <c r="A44" i="1"/>
  <c r="B43" i="1"/>
  <c r="B44" i="1"/>
  <c r="A45" i="1"/>
  <c r="A46" i="1"/>
  <c r="B45" i="1"/>
  <c r="B46" i="1"/>
  <c r="A47" i="1"/>
  <c r="A48" i="1"/>
  <c r="B47" i="1"/>
  <c r="B48" i="1"/>
  <c r="A49" i="1"/>
  <c r="B49" i="1"/>
  <c r="A50" i="1"/>
  <c r="A51" i="1"/>
  <c r="B50" i="1"/>
  <c r="A52" i="1"/>
  <c r="B51" i="1"/>
  <c r="B52" i="1"/>
  <c r="A53" i="1"/>
  <c r="B53" i="1"/>
  <c r="A54" i="1"/>
  <c r="A55" i="1"/>
  <c r="B54" i="1"/>
  <c r="A56" i="1"/>
  <c r="B55" i="1"/>
  <c r="B56" i="1"/>
  <c r="A57" i="1"/>
  <c r="A58" i="1"/>
  <c r="B57" i="1"/>
  <c r="A59" i="1"/>
  <c r="B58" i="1"/>
  <c r="B59" i="1"/>
  <c r="A60" i="1"/>
  <c r="A61" i="1"/>
  <c r="B60" i="1"/>
  <c r="A62" i="1"/>
  <c r="B61" i="1"/>
  <c r="B62" i="1"/>
  <c r="A63" i="1"/>
  <c r="A64" i="1"/>
  <c r="B63" i="1"/>
  <c r="B64" i="1"/>
  <c r="A65" i="1"/>
  <c r="T45" i="1" l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E14" i="1"/>
  <c r="F14" i="1"/>
  <c r="E15" i="1"/>
  <c r="F15" i="1"/>
  <c r="U17" i="1"/>
  <c r="B65" i="1"/>
  <c r="G13" i="2"/>
  <c r="I11" i="2"/>
  <c r="I12" i="2"/>
  <c r="G14" i="2"/>
  <c r="E22" i="1" l="1"/>
  <c r="E47" i="1"/>
  <c r="E61" i="1"/>
  <c r="E29" i="1"/>
  <c r="E35" i="1"/>
  <c r="E43" i="1"/>
  <c r="F50" i="1"/>
  <c r="F56" i="1"/>
  <c r="E64" i="1"/>
  <c r="F16" i="1"/>
  <c r="F22" i="1"/>
  <c r="F24" i="1"/>
  <c r="F29" i="1"/>
  <c r="E30" i="1"/>
  <c r="E32" i="1"/>
  <c r="E42" i="1"/>
  <c r="F43" i="1"/>
  <c r="E45" i="1"/>
  <c r="F48" i="1"/>
  <c r="E51" i="1"/>
  <c r="F53" i="1"/>
  <c r="E56" i="1"/>
  <c r="E59" i="1"/>
  <c r="F64" i="1"/>
  <c r="E16" i="1"/>
  <c r="F18" i="1"/>
  <c r="E23" i="1"/>
  <c r="E31" i="1"/>
  <c r="F34" i="1"/>
  <c r="E40" i="1"/>
  <c r="F46" i="1"/>
  <c r="F51" i="1"/>
  <c r="F59" i="1"/>
  <c r="E62" i="1"/>
  <c r="F19" i="1"/>
  <c r="F27" i="1"/>
  <c r="F30" i="1"/>
  <c r="E48" i="1"/>
  <c r="E53" i="1"/>
  <c r="F61" i="1"/>
  <c r="E26" i="1"/>
  <c r="F32" i="1"/>
  <c r="E34" i="1"/>
  <c r="F37" i="1"/>
  <c r="F40" i="1"/>
  <c r="F42" i="1"/>
  <c r="E44" i="1"/>
  <c r="E46" i="1"/>
  <c r="F62" i="1"/>
  <c r="F17" i="1"/>
  <c r="F21" i="1"/>
  <c r="F23" i="1"/>
  <c r="F25" i="1"/>
  <c r="F26" i="1"/>
  <c r="E33" i="1"/>
  <c r="E37" i="1"/>
  <c r="F39" i="1"/>
  <c r="E41" i="1"/>
  <c r="F44" i="1"/>
  <c r="E49" i="1"/>
  <c r="E52" i="1"/>
  <c r="F54" i="1"/>
  <c r="E57" i="1"/>
  <c r="E65" i="1"/>
  <c r="E27" i="1"/>
  <c r="E50" i="1"/>
  <c r="E63" i="1"/>
  <c r="F45" i="1"/>
  <c r="E18" i="1"/>
  <c r="E21" i="1"/>
  <c r="E24" i="1"/>
  <c r="E28" i="1"/>
  <c r="F31" i="1"/>
  <c r="F36" i="1"/>
  <c r="E54" i="1"/>
  <c r="E17" i="1"/>
  <c r="F20" i="1"/>
  <c r="F28" i="1"/>
  <c r="F33" i="1"/>
  <c r="E36" i="1"/>
  <c r="E38" i="1"/>
  <c r="E39" i="1"/>
  <c r="F49" i="1"/>
  <c r="F52" i="1"/>
  <c r="E55" i="1"/>
  <c r="F57" i="1"/>
  <c r="E60" i="1"/>
  <c r="F65" i="1"/>
  <c r="E20" i="1"/>
  <c r="E58" i="1"/>
  <c r="E19" i="1"/>
  <c r="E25" i="1"/>
  <c r="F35" i="1"/>
  <c r="F38" i="1"/>
  <c r="F41" i="1"/>
  <c r="F47" i="1"/>
  <c r="F55" i="1"/>
  <c r="F58" i="1"/>
  <c r="F60" i="1"/>
  <c r="F63" i="1"/>
  <c r="U18" i="1"/>
  <c r="G15" i="2"/>
  <c r="I13" i="2"/>
  <c r="U19" i="1" l="1"/>
  <c r="I14" i="2"/>
  <c r="G16" i="2"/>
  <c r="G17" i="2"/>
  <c r="I15" i="2"/>
  <c r="U20" i="1" l="1"/>
  <c r="G18" i="2"/>
  <c r="U21" i="1" l="1"/>
  <c r="G19" i="2"/>
  <c r="G20" i="2"/>
  <c r="I16" i="2"/>
  <c r="I17" i="2"/>
  <c r="U22" i="1" l="1"/>
  <c r="I18" i="2"/>
  <c r="I19" i="2"/>
  <c r="G21" i="2"/>
  <c r="U23" i="1" l="1"/>
  <c r="I20" i="2"/>
  <c r="G22" i="2"/>
  <c r="U24" i="1" l="1"/>
  <c r="I21" i="2"/>
  <c r="G23" i="2"/>
  <c r="U25" i="1" l="1"/>
  <c r="I22" i="2"/>
  <c r="U26" i="1" l="1"/>
  <c r="I23" i="2"/>
  <c r="U27" i="1" l="1"/>
  <c r="B24" i="2"/>
  <c r="B25" i="2"/>
  <c r="U28" i="1" l="1"/>
  <c r="U29" i="1" l="1"/>
  <c r="U30" i="1" l="1"/>
  <c r="U31" i="1" l="1"/>
  <c r="U32" i="1" l="1"/>
  <c r="U33" i="1" l="1"/>
  <c r="U34" i="1" l="1"/>
  <c r="U35" i="1" l="1"/>
  <c r="U36" i="1" l="1"/>
  <c r="U37" i="1" l="1"/>
  <c r="U38" i="1" l="1"/>
  <c r="U39" i="1" l="1"/>
  <c r="U40" i="1" l="1"/>
  <c r="U41" i="1" l="1"/>
  <c r="U42" i="1" l="1"/>
  <c r="U43" i="1" l="1"/>
  <c r="U44" i="1" l="1"/>
  <c r="U45" i="1" l="1"/>
  <c r="G4" i="1" a="1"/>
  <c r="P4" i="1" a="1"/>
  <c r="G50" i="1" l="1"/>
  <c r="H50" i="1" s="1"/>
  <c r="G17" i="1"/>
  <c r="H17" i="1" s="1"/>
  <c r="G54" i="1"/>
  <c r="H54" i="1" s="1"/>
  <c r="G28" i="1"/>
  <c r="H28" i="1" s="1"/>
  <c r="G27" i="1"/>
  <c r="H27" i="1" s="1"/>
  <c r="G64" i="1"/>
  <c r="H64" i="1" s="1"/>
  <c r="G7" i="1"/>
  <c r="H7" i="1" s="1"/>
  <c r="G37" i="1"/>
  <c r="H37" i="1" s="1"/>
  <c r="G42" i="1"/>
  <c r="H42" i="1" s="1"/>
  <c r="G56" i="1"/>
  <c r="H56" i="1" s="1"/>
  <c r="G38" i="1"/>
  <c r="H38" i="1" s="1"/>
  <c r="G20" i="1"/>
  <c r="H20" i="1" s="1"/>
  <c r="G19" i="1"/>
  <c r="H19" i="1" s="1"/>
  <c r="G48" i="1"/>
  <c r="H48" i="1" s="1"/>
  <c r="G62" i="1"/>
  <c r="H62" i="1" s="1"/>
  <c r="G29" i="1"/>
  <c r="H29" i="1" s="1"/>
  <c r="G32" i="1"/>
  <c r="H32" i="1" s="1"/>
  <c r="G34" i="1"/>
  <c r="H34" i="1" s="1"/>
  <c r="G40" i="1"/>
  <c r="H40" i="1" s="1"/>
  <c r="G22" i="1"/>
  <c r="H22" i="1" s="1"/>
  <c r="G12" i="1"/>
  <c r="H12" i="1" s="1"/>
  <c r="G11" i="1"/>
  <c r="H11" i="1" s="1"/>
  <c r="G46" i="1"/>
  <c r="H46" i="1" s="1"/>
  <c r="G21" i="1"/>
  <c r="H21" i="1" s="1"/>
  <c r="G26" i="1"/>
  <c r="H26" i="1" s="1"/>
  <c r="G24" i="1"/>
  <c r="H24" i="1" s="1"/>
  <c r="G6" i="1"/>
  <c r="H6" i="1" s="1"/>
  <c r="G4" i="1"/>
  <c r="H4" i="1" s="1"/>
  <c r="G65" i="1"/>
  <c r="H65" i="1" s="1"/>
  <c r="G8" i="1"/>
  <c r="H8" i="1" s="1"/>
  <c r="G30" i="1"/>
  <c r="H30" i="1" s="1"/>
  <c r="G13" i="1"/>
  <c r="H13" i="1" s="1"/>
  <c r="G18" i="1"/>
  <c r="H18" i="1" s="1"/>
  <c r="G16" i="1"/>
  <c r="H16" i="1" s="1"/>
  <c r="G60" i="1"/>
  <c r="H60" i="1" s="1"/>
  <c r="G59" i="1"/>
  <c r="H59" i="1" s="1"/>
  <c r="G49" i="1"/>
  <c r="H49" i="1" s="1"/>
  <c r="G55" i="1"/>
  <c r="H55" i="1" s="1"/>
  <c r="G14" i="1"/>
  <c r="H14" i="1" s="1"/>
  <c r="G5" i="1"/>
  <c r="H5" i="1" s="1"/>
  <c r="G10" i="1"/>
  <c r="H10" i="1" s="1"/>
  <c r="G63" i="1"/>
  <c r="H63" i="1" s="1"/>
  <c r="G52" i="1"/>
  <c r="H52" i="1" s="1"/>
  <c r="G51" i="1"/>
  <c r="H51" i="1" s="1"/>
  <c r="G41" i="1"/>
  <c r="H41" i="1" s="1"/>
  <c r="G39" i="1"/>
  <c r="H39" i="1" s="1"/>
  <c r="G61" i="1"/>
  <c r="H61" i="1" s="1"/>
  <c r="G36" i="1"/>
  <c r="H36" i="1" s="1"/>
  <c r="G45" i="1"/>
  <c r="H45" i="1" s="1"/>
  <c r="G43" i="1"/>
  <c r="H43" i="1" s="1"/>
  <c r="G58" i="1"/>
  <c r="H58" i="1" s="1"/>
  <c r="G35" i="1"/>
  <c r="H35" i="1" s="1"/>
  <c r="G57" i="1"/>
  <c r="H57" i="1" s="1"/>
  <c r="G25" i="1"/>
  <c r="H25" i="1" s="1"/>
  <c r="G33" i="1"/>
  <c r="H33" i="1" s="1"/>
  <c r="G9" i="1"/>
  <c r="H9" i="1" s="1"/>
  <c r="G47" i="1"/>
  <c r="H47" i="1" s="1"/>
  <c r="G31" i="1"/>
  <c r="H31" i="1" s="1"/>
  <c r="G23" i="1"/>
  <c r="H23" i="1" s="1"/>
  <c r="G15" i="1"/>
  <c r="H15" i="1" s="1"/>
  <c r="G44" i="1"/>
  <c r="H44" i="1" s="1"/>
  <c r="G53" i="1"/>
  <c r="H53" i="1" s="1"/>
  <c r="P61" i="1"/>
  <c r="Q61" i="1" s="1"/>
  <c r="P50" i="1"/>
  <c r="Q50" i="1" s="1"/>
  <c r="P32" i="1"/>
  <c r="Q32" i="1" s="1"/>
  <c r="P21" i="1"/>
  <c r="Q21" i="1" s="1"/>
  <c r="P20" i="1"/>
  <c r="Q20" i="1" s="1"/>
  <c r="P49" i="1"/>
  <c r="Q49" i="1" s="1"/>
  <c r="P55" i="1"/>
  <c r="Q55" i="1" s="1"/>
  <c r="P46" i="1"/>
  <c r="Q46" i="1" s="1"/>
  <c r="P59" i="1"/>
  <c r="Q59" i="1" s="1"/>
  <c r="P26" i="1"/>
  <c r="Q26" i="1" s="1"/>
  <c r="P16" i="1"/>
  <c r="Q16" i="1" s="1"/>
  <c r="P13" i="1"/>
  <c r="Q13" i="1" s="1"/>
  <c r="P12" i="1"/>
  <c r="Q12" i="1" s="1"/>
  <c r="P47" i="1"/>
  <c r="Q47" i="1" s="1"/>
  <c r="P38" i="1"/>
  <c r="Q38" i="1" s="1"/>
  <c r="P33" i="1"/>
  <c r="Q33" i="1" s="1"/>
  <c r="P51" i="1"/>
  <c r="Q51" i="1" s="1"/>
  <c r="P10" i="1"/>
  <c r="Q10" i="1" s="1"/>
  <c r="P63" i="1"/>
  <c r="Q63" i="1" s="1"/>
  <c r="P5" i="1"/>
  <c r="Q5" i="1" s="1"/>
  <c r="P4" i="1"/>
  <c r="Q4" i="1" s="1"/>
  <c r="P25" i="1"/>
  <c r="Q25" i="1" s="1"/>
  <c r="P39" i="1"/>
  <c r="Q39" i="1" s="1"/>
  <c r="P30" i="1"/>
  <c r="Q30" i="1" s="1"/>
  <c r="P43" i="1"/>
  <c r="Q43" i="1" s="1"/>
  <c r="P57" i="1"/>
  <c r="Q57" i="1" s="1"/>
  <c r="P7" i="1"/>
  <c r="Q7" i="1" s="1"/>
  <c r="P60" i="1"/>
  <c r="Q60" i="1" s="1"/>
  <c r="P58" i="1"/>
  <c r="Q58" i="1" s="1"/>
  <c r="P17" i="1"/>
  <c r="Q17" i="1" s="1"/>
  <c r="P31" i="1"/>
  <c r="Q31" i="1" s="1"/>
  <c r="P22" i="1"/>
  <c r="Q22" i="1" s="1"/>
  <c r="P35" i="1"/>
  <c r="Q35" i="1" s="1"/>
  <c r="P41" i="1"/>
  <c r="Q41" i="1" s="1"/>
  <c r="P53" i="1"/>
  <c r="Q53" i="1" s="1"/>
  <c r="P52" i="1"/>
  <c r="Q52" i="1" s="1"/>
  <c r="P42" i="1"/>
  <c r="Q42" i="1" s="1"/>
  <c r="P64" i="1"/>
  <c r="Q64" i="1" s="1"/>
  <c r="P23" i="1"/>
  <c r="Q23" i="1" s="1"/>
  <c r="P14" i="1"/>
  <c r="Q14" i="1" s="1"/>
  <c r="P27" i="1"/>
  <c r="Q27" i="1" s="1"/>
  <c r="P9" i="1"/>
  <c r="Q9" i="1" s="1"/>
  <c r="P45" i="1"/>
  <c r="Q45" i="1" s="1"/>
  <c r="P44" i="1"/>
  <c r="Q44" i="1" s="1"/>
  <c r="P34" i="1"/>
  <c r="Q34" i="1" s="1"/>
  <c r="P40" i="1"/>
  <c r="Q40" i="1" s="1"/>
  <c r="P15" i="1"/>
  <c r="Q15" i="1" s="1"/>
  <c r="P6" i="1"/>
  <c r="Q6" i="1" s="1"/>
  <c r="P19" i="1"/>
  <c r="Q19" i="1" s="1"/>
  <c r="P56" i="1"/>
  <c r="Q56" i="1" s="1"/>
  <c r="P37" i="1"/>
  <c r="Q37" i="1" s="1"/>
  <c r="P36" i="1"/>
  <c r="Q36" i="1" s="1"/>
  <c r="P18" i="1"/>
  <c r="Q18" i="1" s="1"/>
  <c r="P24" i="1"/>
  <c r="Q24" i="1" s="1"/>
  <c r="P54" i="1"/>
  <c r="Q54" i="1" s="1"/>
  <c r="P11" i="1"/>
  <c r="Q11" i="1" s="1"/>
  <c r="P48" i="1"/>
  <c r="Q48" i="1" s="1"/>
  <c r="P29" i="1"/>
  <c r="Q29" i="1" s="1"/>
  <c r="P28" i="1"/>
  <c r="Q28" i="1" s="1"/>
  <c r="P65" i="1"/>
  <c r="Q65" i="1" s="1"/>
  <c r="P8" i="1"/>
  <c r="Q8" i="1" s="1"/>
  <c r="P62" i="1"/>
  <c r="Q62" i="1" s="1"/>
  <c r="W1" i="1"/>
  <c r="Q2" i="1"/>
  <c r="O2" i="2"/>
  <c r="B26" i="2" s="1"/>
  <c r="P2" i="1"/>
  <c r="V1" i="1"/>
  <c r="AB7" i="1" s="1"/>
  <c r="L7" i="14" l="1"/>
  <c r="L5" i="14"/>
  <c r="L2" i="14"/>
  <c r="L4" i="14"/>
  <c r="L6" i="14"/>
  <c r="L3" i="14"/>
  <c r="M3" i="14" l="1"/>
  <c r="M6" i="14"/>
  <c r="M4" i="14"/>
  <c r="M2" i="14"/>
  <c r="M5" i="14"/>
  <c r="M7" i="14"/>
  <c r="O3" i="14"/>
  <c r="O7" i="14"/>
  <c r="O5" i="14"/>
  <c r="O2" i="14"/>
  <c r="O6" i="14"/>
  <c r="O4" i="14"/>
  <c r="T3" i="14"/>
  <c r="U3" i="14" s="1"/>
  <c r="V3" i="14" s="1"/>
  <c r="Q3" i="14"/>
  <c r="R3" i="14" s="1"/>
  <c r="S3" i="14" s="1"/>
  <c r="Q7" i="14"/>
  <c r="R7" i="14" s="1"/>
  <c r="S7" i="14" s="1"/>
  <c r="T7" i="14"/>
  <c r="U7" i="14" s="1"/>
  <c r="V7" i="14" s="1"/>
  <c r="T5" i="14"/>
  <c r="U5" i="14" s="1"/>
  <c r="V5" i="14" s="1"/>
  <c r="Q5" i="14"/>
  <c r="R5" i="14" s="1"/>
  <c r="S5" i="14" s="1"/>
  <c r="T2" i="14"/>
  <c r="U2" i="14" s="1"/>
  <c r="V2" i="14" s="1"/>
  <c r="Q2" i="14"/>
  <c r="R2" i="14" s="1"/>
  <c r="S2" i="14" s="1"/>
  <c r="Q6" i="14"/>
  <c r="R6" i="14" s="1"/>
  <c r="S6" i="14" s="1"/>
  <c r="T6" i="14"/>
  <c r="U6" i="14" s="1"/>
  <c r="V6" i="14" s="1"/>
  <c r="Q4" i="14"/>
  <c r="R4" i="14" s="1"/>
  <c r="S4" i="14" s="1"/>
  <c r="T4" i="14"/>
  <c r="U4" i="14" s="1"/>
  <c r="V4" i="14" s="1"/>
  <c r="G13" i="14"/>
  <c r="G15" i="14"/>
  <c r="G17" i="14" a="1"/>
  <c r="H20" i="14"/>
  <c r="G22" i="14"/>
  <c r="I21" i="14"/>
  <c r="I25" i="14"/>
  <c r="H18" i="14"/>
  <c r="H17" i="14"/>
  <c r="G18" i="14"/>
  <c r="G25" i="14"/>
  <c r="H19" i="14"/>
  <c r="H24" i="14"/>
  <c r="H26" i="14"/>
  <c r="H23" i="14"/>
  <c r="G26" i="14"/>
  <c r="H21" i="14"/>
  <c r="I22" i="14"/>
  <c r="I23" i="14"/>
  <c r="H22" i="14"/>
  <c r="I24" i="14"/>
  <c r="I20" i="14"/>
  <c r="G20" i="14"/>
  <c r="G21" i="14"/>
  <c r="I26" i="14"/>
  <c r="H25" i="14"/>
  <c r="I18" i="14"/>
  <c r="I19" i="14"/>
  <c r="G19" i="14"/>
  <c r="G23" i="14"/>
  <c r="G24" i="14"/>
  <c r="G17" i="14"/>
  <c r="I17" i="14"/>
</calcChain>
</file>

<file path=xl/sharedStrings.xml><?xml version="1.0" encoding="utf-8"?>
<sst xmlns="http://schemas.openxmlformats.org/spreadsheetml/2006/main" count="199" uniqueCount="71">
  <si>
    <t>ValDate</t>
  </si>
  <si>
    <t>Settle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</si>
  <si>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</si>
  <si>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</si>
  <si>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</si>
  <si>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</si>
  <si>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</si>
  <si>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</si>
  <si>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</si>
  <si>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</si>
  <si>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</si>
  <si>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</si>
  <si>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</si>
  <si>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</si>
  <si>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</si>
  <si>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</si>
  <si>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</si>
  <si>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</si>
  <si>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</si>
  <si>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</si>
  <si>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</si>
  <si>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</si>
  <si>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</si>
  <si>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Vol Objects</t>
  </si>
  <si>
    <t>Model</t>
  </si>
  <si>
    <t>FICA</t>
  </si>
  <si>
    <t>FICB</t>
  </si>
  <si>
    <t>FIC_Combined</t>
  </si>
  <si>
    <t>Strike</t>
  </si>
  <si>
    <t>PV</t>
  </si>
  <si>
    <t>Delta</t>
  </si>
  <si>
    <t>3w</t>
  </si>
  <si>
    <t>1y</t>
  </si>
  <si>
    <t>USDZAR Vols</t>
  </si>
  <si>
    <t>CorrelMatrix</t>
  </si>
  <si>
    <t>FxDelta</t>
  </si>
  <si>
    <t>Live Mid</t>
  </si>
  <si>
    <t>Settle Sprd</t>
  </si>
  <si>
    <t>Live Sprd</t>
  </si>
  <si>
    <t>Bent</t>
  </si>
  <si>
    <t>Live Price</t>
  </si>
  <si>
    <t>ICEBrent</t>
  </si>
  <si>
    <t>ICEGasoil</t>
  </si>
  <si>
    <t>Sing180</t>
  </si>
  <si>
    <t>Gasoil</t>
  </si>
  <si>
    <t>HSFO 180 Fuel Oil</t>
  </si>
  <si>
    <t>Coal API 4 FOB</t>
  </si>
  <si>
    <t>Brent Crude Oil</t>
  </si>
  <si>
    <t>API4</t>
  </si>
  <si>
    <t>[USD.LIBOR.3M]</t>
  </si>
  <si>
    <t>Notional</t>
  </si>
  <si>
    <t>Act365F</t>
  </si>
  <si>
    <t>Act360</t>
  </si>
  <si>
    <t>USD/ZAR</t>
  </si>
  <si>
    <t>Metal</t>
  </si>
  <si>
    <t>Ccy</t>
  </si>
  <si>
    <t>Period</t>
  </si>
  <si>
    <t>Type</t>
  </si>
  <si>
    <t>FXType</t>
  </si>
  <si>
    <t>FixingCal</t>
  </si>
  <si>
    <t>FixingLag</t>
  </si>
  <si>
    <t>PayCal</t>
  </si>
  <si>
    <t>PayLag</t>
  </si>
  <si>
    <t>DiscoCurve</t>
  </si>
  <si>
    <t>(obj)</t>
  </si>
  <si>
    <t>FairStrike</t>
  </si>
  <si>
    <t>Term</t>
  </si>
  <si>
    <t>ATC</t>
  </si>
  <si>
    <t>0b</t>
  </si>
  <si>
    <t>5b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</si>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</sst>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0_-;\-* #,##0.000_-;_-* &quot;-&quot;??_-;_-@_-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&quot;£&quot;#,##0;[Red]\-&quot;£&quot;#,##0"/>
    <numFmt numFmtId="170" formatCode="&quot;R&quot;\ #,##0;[Red]&quot;R&quot;\ \-#,##0"/>
    <numFmt numFmtId="171" formatCode="_ &quot;R&quot;\ * #,##0.00_ ;_ &quot;R&quot;\ * \-#,##0.00_ ;_ &quot;R&quot;\ * &quot;-&quot;??_ ;_ @_ "/>
    <numFmt numFmtId="172" formatCode="0.0000"/>
    <numFmt numFmtId="173" formatCode="_([$€]* #,##0.00_);_([$€]* \(#,##0.00\);_([$€]* &quot;-&quot;??_);_(@_)"/>
    <numFmt numFmtId="174" formatCode="dd\-mmm\-yy_)"/>
    <numFmt numFmtId="175" formatCode="#,##0.0_);\(#,##0.0\)"/>
    <numFmt numFmtId="176" formatCode="_ [$€]\ * #,##0.00_ ;_ [$€]\ * \-#,##0.00_ ;_ [$€]\ * &quot;-&quot;??_ ;_ @_ "/>
    <numFmt numFmtId="177" formatCode="&quot;ZAR&quot;\ #,##0;[Red]&quot;ZAR&quot;\ \-#,##0"/>
    <numFmt numFmtId="178" formatCode="&quot;$&quot;#,##0\ ;\(&quot;$&quot;#,##0\)"/>
    <numFmt numFmtId="179" formatCode="#,##0.0;#,##0.0"/>
    <numFmt numFmtId="180" formatCode="\+#,##0.00;\-#,##0.00"/>
    <numFmt numFmtId="181" formatCode="0.00_)"/>
    <numFmt numFmtId="182" formatCode="_ [$€-2]\ * #,##0.00_ ;_ [$€-2]\ * \-#,##0.00_ ;_ [$€-2]\ * &quot;-&quot;??_ "/>
    <numFmt numFmtId="183" formatCode="_-* #,##0_-;\-* #,##0_-;_-* &quot;-&quot;??_-;_-@_-"/>
    <numFmt numFmtId="184" formatCode="_-* #,##0.0000_-;\-* #,##0.0000_-;_-* &quot;-&quot;??_-;_-@_-"/>
  </numFmts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u/>
      <sz val="6"/>
      <color indexed="12"/>
      <name val="Arial"/>
      <family val="2"/>
    </font>
    <font>
      <b/>
      <sz val="10"/>
      <color indexed="3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8"/>
      <color indexed="12"/>
      <name val="Arial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u/>
      <sz val="10"/>
      <color indexed="12"/>
      <name val="Tahoma"/>
      <family val="2"/>
    </font>
    <font>
      <sz val="11"/>
      <color rgb="FF9C6500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libri Light"/>
      <family val="2"/>
      <scheme val="major"/>
    </font>
    <font>
      <sz val="8"/>
      <name val="Arial"/>
      <family val="2"/>
    </font>
    <font>
      <sz val="8"/>
      <name val="Arial"/>
    </font>
  </fonts>
  <fills count="8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1291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10" borderId="0" applyNumberFormat="0" applyBorder="0" applyAlignment="0" applyProtection="0"/>
    <xf numFmtId="0" fontId="26" fillId="3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14" borderId="0" applyNumberFormat="0" applyBorder="0" applyAlignment="0" applyProtection="0"/>
    <xf numFmtId="0" fontId="26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1" fillId="38" borderId="0" applyNumberFormat="0" applyBorder="0" applyAlignment="0" applyProtection="0"/>
    <xf numFmtId="0" fontId="2" fillId="18" borderId="0" applyNumberFormat="0" applyBorder="0" applyAlignment="0" applyProtection="0"/>
    <xf numFmtId="0" fontId="26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6" fillId="38" borderId="0" applyNumberFormat="0" applyBorder="0" applyAlignment="0" applyProtection="0"/>
    <xf numFmtId="0" fontId="26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22" borderId="0" applyNumberFormat="0" applyBorder="0" applyAlignment="0" applyProtection="0"/>
    <xf numFmtId="0" fontId="26" fillId="40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1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21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3" borderId="0" applyNumberFormat="0" applyBorder="0" applyAlignment="0" applyProtection="0"/>
    <xf numFmtId="0" fontId="21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21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19" borderId="0" applyNumberFormat="0" applyBorder="0" applyAlignment="0" applyProtection="0"/>
    <xf numFmtId="0" fontId="26" fillId="4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1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3" borderId="0" applyNumberFormat="0" applyBorder="0" applyAlignment="0" applyProtection="0"/>
    <xf numFmtId="0" fontId="21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44" borderId="0" applyNumberFormat="0" applyBorder="0" applyAlignment="0" applyProtection="0"/>
    <xf numFmtId="0" fontId="21" fillId="44" borderId="0" applyNumberFormat="0" applyBorder="0" applyAlignment="0" applyProtection="0"/>
    <xf numFmtId="0" fontId="26" fillId="44" borderId="0" applyNumberFormat="0" applyBorder="0" applyAlignment="0" applyProtection="0"/>
    <xf numFmtId="0" fontId="16" fillId="12" borderId="0" applyNumberFormat="0" applyBorder="0" applyAlignment="0" applyProtection="0"/>
    <xf numFmtId="0" fontId="27" fillId="45" borderId="0" applyNumberFormat="0" applyBorder="0" applyAlignment="0" applyProtection="0"/>
    <xf numFmtId="0" fontId="45" fillId="45" borderId="0" applyNumberFormat="0" applyBorder="0" applyAlignment="0" applyProtection="0"/>
    <xf numFmtId="0" fontId="27" fillId="45" borderId="0" applyNumberFormat="0" applyBorder="0" applyAlignment="0" applyProtection="0"/>
    <xf numFmtId="0" fontId="16" fillId="16" borderId="0" applyNumberFormat="0" applyBorder="0" applyAlignment="0" applyProtection="0"/>
    <xf numFmtId="0" fontId="27" fillId="35" borderId="0" applyNumberFormat="0" applyBorder="0" applyAlignment="0" applyProtection="0"/>
    <xf numFmtId="0" fontId="45" fillId="35" borderId="0" applyNumberFormat="0" applyBorder="0" applyAlignment="0" applyProtection="0"/>
    <xf numFmtId="0" fontId="27" fillId="35" borderId="0" applyNumberFormat="0" applyBorder="0" applyAlignment="0" applyProtection="0"/>
    <xf numFmtId="0" fontId="16" fillId="20" borderId="0" applyNumberFormat="0" applyBorder="0" applyAlignment="0" applyProtection="0"/>
    <xf numFmtId="0" fontId="27" fillId="43" borderId="0" applyNumberFormat="0" applyBorder="0" applyAlignment="0" applyProtection="0"/>
    <xf numFmtId="0" fontId="45" fillId="43" borderId="0" applyNumberFormat="0" applyBorder="0" applyAlignment="0" applyProtection="0"/>
    <xf numFmtId="0" fontId="16" fillId="20" borderId="0" applyNumberFormat="0" applyBorder="0" applyAlignment="0" applyProtection="0"/>
    <xf numFmtId="0" fontId="27" fillId="43" borderId="0" applyNumberFormat="0" applyBorder="0" applyAlignment="0" applyProtection="0"/>
    <xf numFmtId="0" fontId="16" fillId="20" borderId="0" applyNumberFormat="0" applyBorder="0" applyAlignment="0" applyProtection="0"/>
    <xf numFmtId="0" fontId="27" fillId="43" borderId="0" applyNumberFormat="0" applyBorder="0" applyAlignment="0" applyProtection="0"/>
    <xf numFmtId="0" fontId="16" fillId="24" borderId="0" applyNumberFormat="0" applyBorder="0" applyAlignment="0" applyProtection="0"/>
    <xf numFmtId="0" fontId="27" fillId="47" borderId="0" applyNumberFormat="0" applyBorder="0" applyAlignment="0" applyProtection="0"/>
    <xf numFmtId="0" fontId="45" fillId="47" borderId="0" applyNumberFormat="0" applyBorder="0" applyAlignment="0" applyProtection="0"/>
    <xf numFmtId="0" fontId="16" fillId="24" borderId="0" applyNumberFormat="0" applyBorder="0" applyAlignment="0" applyProtection="0"/>
    <xf numFmtId="0" fontId="27" fillId="47" borderId="0" applyNumberFormat="0" applyBorder="0" applyAlignment="0" applyProtection="0"/>
    <xf numFmtId="0" fontId="16" fillId="24" borderId="0" applyNumberFormat="0" applyBorder="0" applyAlignment="0" applyProtection="0"/>
    <xf numFmtId="0" fontId="27" fillId="47" borderId="0" applyNumberFormat="0" applyBorder="0" applyAlignment="0" applyProtection="0"/>
    <xf numFmtId="0" fontId="16" fillId="28" borderId="0" applyNumberFormat="0" applyBorder="0" applyAlignment="0" applyProtection="0"/>
    <xf numFmtId="0" fontId="27" fillId="48" borderId="0" applyNumberFormat="0" applyBorder="0" applyAlignment="0" applyProtection="0"/>
    <xf numFmtId="0" fontId="45" fillId="48" borderId="0" applyNumberFormat="0" applyBorder="0" applyAlignment="0" applyProtection="0"/>
    <xf numFmtId="0" fontId="27" fillId="48" borderId="0" applyNumberFormat="0" applyBorder="0" applyAlignment="0" applyProtection="0"/>
    <xf numFmtId="0" fontId="16" fillId="32" borderId="0" applyNumberFormat="0" applyBorder="0" applyAlignment="0" applyProtection="0"/>
    <xf numFmtId="0" fontId="27" fillId="49" borderId="0" applyNumberFormat="0" applyBorder="0" applyAlignment="0" applyProtection="0"/>
    <xf numFmtId="0" fontId="45" fillId="49" borderId="0" applyNumberFormat="0" applyBorder="0" applyAlignment="0" applyProtection="0"/>
    <xf numFmtId="0" fontId="16" fillId="32" borderId="0" applyNumberFormat="0" applyBorder="0" applyAlignment="0" applyProtection="0"/>
    <xf numFmtId="0" fontId="27" fillId="49" borderId="0" applyNumberFormat="0" applyBorder="0" applyAlignment="0" applyProtection="0"/>
    <xf numFmtId="0" fontId="16" fillId="32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5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45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45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45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45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6" borderId="0" applyNumberFormat="0" applyBorder="0" applyAlignment="0" applyProtection="0"/>
    <xf numFmtId="0" fontId="45" fillId="46" borderId="0" applyNumberFormat="0" applyBorder="0" applyAlignment="0" applyProtection="0"/>
    <xf numFmtId="0" fontId="27" fillId="46" borderId="0" applyNumberFormat="0" applyBorder="0" applyAlignment="0" applyProtection="0"/>
    <xf numFmtId="0" fontId="22" fillId="0" borderId="0">
      <alignment horizontal="center" wrapText="1"/>
      <protection locked="0"/>
    </xf>
    <xf numFmtId="0" fontId="53" fillId="53" borderId="0" applyAlignment="0"/>
    <xf numFmtId="0" fontId="28" fillId="36" borderId="0" applyNumberFormat="0" applyBorder="0" applyAlignment="0" applyProtection="0"/>
    <xf numFmtId="0" fontId="6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82" borderId="0"/>
    <xf numFmtId="0" fontId="18" fillId="0" borderId="11"/>
    <xf numFmtId="0" fontId="46" fillId="54" borderId="12" applyNumberFormat="0" applyAlignment="0" applyProtection="0"/>
    <xf numFmtId="0" fontId="69" fillId="54" borderId="12" applyNumberFormat="0" applyAlignment="0" applyProtection="0"/>
    <xf numFmtId="0" fontId="46" fillId="54" borderId="12" applyNumberFormat="0" applyAlignment="0" applyProtection="0"/>
    <xf numFmtId="0" fontId="29" fillId="55" borderId="13" applyNumberFormat="0" applyAlignment="0" applyProtection="0"/>
    <xf numFmtId="0" fontId="44" fillId="55" borderId="13" applyNumberFormat="0" applyAlignment="0" applyProtection="0"/>
    <xf numFmtId="0" fontId="29" fillId="55" borderId="13" applyNumberFormat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4" fontId="23" fillId="0" borderId="14" applyFont="0" applyBorder="0" applyAlignment="0" applyProtection="0">
      <alignment horizontal="left"/>
      <protection locked="0"/>
    </xf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0" fontId="31" fillId="38" borderId="0" applyNumberFormat="0" applyBorder="0" applyAlignment="0" applyProtection="0"/>
    <xf numFmtId="0" fontId="71" fillId="38" borderId="0" applyNumberFormat="0" applyBorder="0" applyAlignment="0" applyProtection="0"/>
    <xf numFmtId="0" fontId="31" fillId="38" borderId="0" applyNumberFormat="0" applyBorder="0" applyAlignment="0" applyProtection="0"/>
    <xf numFmtId="0" fontId="79" fillId="0" borderId="0"/>
    <xf numFmtId="0" fontId="80" fillId="0" borderId="0"/>
    <xf numFmtId="0" fontId="40" fillId="0" borderId="0"/>
    <xf numFmtId="0" fontId="81" fillId="0" borderId="0"/>
    <xf numFmtId="0" fontId="82" fillId="0" borderId="0"/>
    <xf numFmtId="0" fontId="24" fillId="0" borderId="15" applyNumberFormat="0" applyAlignment="0" applyProtection="0">
      <alignment horizontal="left" vertical="center"/>
    </xf>
    <xf numFmtId="0" fontId="24" fillId="0" borderId="1">
      <alignment horizontal="left" vertical="center"/>
    </xf>
    <xf numFmtId="0" fontId="47" fillId="0" borderId="16" applyNumberFormat="0" applyFill="0" applyAlignment="0" applyProtection="0"/>
    <xf numFmtId="0" fontId="72" fillId="0" borderId="16" applyNumberFormat="0" applyFill="0" applyAlignment="0" applyProtection="0"/>
    <xf numFmtId="0" fontId="54" fillId="0" borderId="0" applyNumberFormat="0" applyFill="0" applyBorder="0" applyAlignment="0" applyProtection="0"/>
    <xf numFmtId="0" fontId="47" fillId="0" borderId="16" applyNumberFormat="0" applyFill="0" applyAlignment="0" applyProtection="0"/>
    <xf numFmtId="0" fontId="48" fillId="0" borderId="17" applyNumberFormat="0" applyFill="0" applyAlignment="0" applyProtection="0"/>
    <xf numFmtId="0" fontId="7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48" fillId="0" borderId="17" applyNumberFormat="0" applyFill="0" applyAlignment="0" applyProtection="0"/>
    <xf numFmtId="0" fontId="49" fillId="0" borderId="18" applyNumberFormat="0" applyFill="0" applyAlignment="0" applyProtection="0"/>
    <xf numFmtId="0" fontId="74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5" fillId="56" borderId="0" applyNumberFormat="0" applyBorder="0">
      <alignment horizontal="right" vertical="center"/>
    </xf>
    <xf numFmtId="19" fontId="55" fillId="56" borderId="19" applyNumberFormat="0" applyBorder="0">
      <alignment horizontal="left" vertical="center"/>
    </xf>
    <xf numFmtId="2" fontId="56" fillId="57" borderId="0">
      <alignment horizontal="center" vertical="center"/>
    </xf>
    <xf numFmtId="2" fontId="56" fillId="57" borderId="20" applyBorder="0">
      <alignment horizontal="left" vertical="center"/>
    </xf>
    <xf numFmtId="0" fontId="55" fillId="56" borderId="0">
      <alignment horizontal="right" vertical="center"/>
    </xf>
    <xf numFmtId="0" fontId="20" fillId="58" borderId="21" applyNumberFormat="0" applyAlignment="0">
      <protection locked="0"/>
    </xf>
    <xf numFmtId="0" fontId="9" fillId="5" borderId="5" applyNumberFormat="0" applyAlignment="0" applyProtection="0"/>
    <xf numFmtId="0" fontId="67" fillId="59" borderId="22" applyNumberFormat="0" applyAlignment="0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59" borderId="22" applyNumberFormat="0" applyAlignment="0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75" fillId="39" borderId="12" applyNumberFormat="0" applyAlignment="0" applyProtection="0"/>
    <xf numFmtId="0" fontId="37" fillId="39" borderId="12" applyNumberFormat="0" applyAlignment="0" applyProtection="0"/>
    <xf numFmtId="0" fontId="37" fillId="39" borderId="12" applyNumberFormat="0" applyAlignment="0" applyProtection="0"/>
    <xf numFmtId="0" fontId="67" fillId="59" borderId="22" applyNumberFormat="0" applyAlignment="0">
      <protection locked="0"/>
    </xf>
    <xf numFmtId="0" fontId="20" fillId="58" borderId="21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37" fillId="39" borderId="12" applyNumberFormat="0" applyAlignment="0" applyProtection="0"/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20" fillId="58" borderId="21" applyNumberFormat="0" applyAlignment="0">
      <protection locked="0"/>
    </xf>
    <xf numFmtId="0" fontId="20" fillId="58" borderId="21" applyNumberFormat="0" applyAlignment="0">
      <protection locked="0"/>
    </xf>
    <xf numFmtId="0" fontId="20" fillId="58" borderId="21" applyNumberFormat="0" applyAlignment="0">
      <protection locked="0"/>
    </xf>
    <xf numFmtId="0" fontId="20" fillId="58" borderId="21" applyNumberFormat="0" applyAlignment="0">
      <protection locked="0"/>
    </xf>
    <xf numFmtId="175" fontId="25" fillId="60" borderId="0"/>
    <xf numFmtId="0" fontId="18" fillId="61" borderId="21" applyNumberFormat="0" applyAlignment="0">
      <protection locked="0"/>
    </xf>
    <xf numFmtId="0" fontId="18" fillId="62" borderId="0">
      <alignment horizontal="right" vertical="center"/>
    </xf>
    <xf numFmtId="2" fontId="18" fillId="62" borderId="19" applyNumberFormat="0" applyBorder="0">
      <alignment horizontal="right" vertical="center"/>
    </xf>
    <xf numFmtId="2" fontId="57" fillId="63" borderId="0">
      <alignment horizontal="right" vertical="center"/>
    </xf>
    <xf numFmtId="2" fontId="57" fillId="63" borderId="20" applyBorder="0">
      <alignment horizontal="left" vertical="center"/>
    </xf>
    <xf numFmtId="15" fontId="58" fillId="64" borderId="23" applyNumberFormat="0" applyBorder="0">
      <alignment horizontal="right" vertical="center"/>
    </xf>
    <xf numFmtId="2" fontId="59" fillId="65" borderId="20" applyNumberFormat="0">
      <alignment horizontal="center" vertical="center"/>
    </xf>
    <xf numFmtId="2" fontId="18" fillId="66" borderId="24" applyNumberFormat="0" applyBorder="0">
      <alignment horizontal="right" vertical="center"/>
    </xf>
    <xf numFmtId="0" fontId="50" fillId="0" borderId="25" applyNumberFormat="0" applyFill="0" applyAlignment="0" applyProtection="0"/>
    <xf numFmtId="0" fontId="76" fillId="0" borderId="25" applyNumberFormat="0" applyFill="0" applyAlignment="0" applyProtection="0"/>
    <xf numFmtId="0" fontId="50" fillId="0" borderId="2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89" fillId="4" borderId="0" applyNumberFormat="0" applyBorder="0" applyAlignment="0" applyProtection="0"/>
    <xf numFmtId="0" fontId="51" fillId="42" borderId="0" applyNumberFormat="0" applyBorder="0" applyAlignment="0" applyProtection="0"/>
    <xf numFmtId="0" fontId="77" fillId="42" borderId="0" applyNumberFormat="0" applyBorder="0" applyAlignment="0" applyProtection="0"/>
    <xf numFmtId="0" fontId="51" fillId="42" borderId="0" applyNumberFormat="0" applyBorder="0" applyAlignment="0" applyProtection="0"/>
    <xf numFmtId="0" fontId="18" fillId="0" borderId="0" applyNumberFormat="0" applyFont="0" applyFill="0" applyBorder="0" applyAlignment="0"/>
    <xf numFmtId="170" fontId="18" fillId="0" borderId="0" applyNumberFormat="0" applyBorder="0" applyAlignment="0">
      <alignment horizontal="center"/>
      <protection locked="0"/>
    </xf>
    <xf numFmtId="170" fontId="67" fillId="0" borderId="0" applyNumberFormat="0" applyBorder="0" applyAlignment="0">
      <alignment horizontal="center"/>
      <protection locked="0"/>
    </xf>
    <xf numFmtId="177" fontId="18" fillId="0" borderId="0" applyNumberFormat="0" applyBorder="0" applyAlignment="0">
      <alignment horizontal="center"/>
      <protection locked="0"/>
    </xf>
    <xf numFmtId="169" fontId="18" fillId="0" borderId="0" applyNumberFormat="0" applyBorder="0" applyAlignment="0">
      <alignment horizontal="center"/>
      <protection locked="0"/>
    </xf>
    <xf numFmtId="170" fontId="18" fillId="0" borderId="0" applyNumberFormat="0" applyBorder="0" applyAlignment="0">
      <alignment horizontal="center"/>
      <protection locked="0"/>
    </xf>
    <xf numFmtId="170" fontId="18" fillId="0" borderId="0" applyNumberFormat="0" applyBorder="0" applyAlignment="0">
      <alignment horizontal="center"/>
      <protection locked="0"/>
    </xf>
    <xf numFmtId="181" fontId="6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3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3" fillId="0" borderId="0"/>
    <xf numFmtId="0" fontId="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2" fillId="0" borderId="0"/>
    <xf numFmtId="0" fontId="2" fillId="0" borderId="0"/>
    <xf numFmtId="0" fontId="4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2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18" fillId="0" borderId="0"/>
    <xf numFmtId="0" fontId="90" fillId="0" borderId="0"/>
    <xf numFmtId="0" fontId="18" fillId="0" borderId="0"/>
    <xf numFmtId="0" fontId="41" fillId="0" borderId="0"/>
    <xf numFmtId="0" fontId="90" fillId="0" borderId="0"/>
    <xf numFmtId="0" fontId="2" fillId="0" borderId="0"/>
    <xf numFmtId="0" fontId="41" fillId="0" borderId="0"/>
    <xf numFmtId="0" fontId="3" fillId="0" borderId="0"/>
    <xf numFmtId="0" fontId="2" fillId="0" borderId="0"/>
    <xf numFmtId="0" fontId="41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42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43" fillId="0" borderId="0"/>
    <xf numFmtId="0" fontId="18" fillId="0" borderId="0"/>
    <xf numFmtId="0" fontId="43" fillId="0" borderId="0"/>
    <xf numFmtId="0" fontId="90" fillId="0" borderId="0"/>
    <xf numFmtId="0" fontId="90" fillId="0" borderId="0"/>
    <xf numFmtId="0" fontId="43" fillId="0" borderId="0"/>
    <xf numFmtId="0" fontId="3" fillId="0" borderId="0"/>
    <xf numFmtId="0" fontId="42" fillId="0" borderId="0"/>
    <xf numFmtId="0" fontId="18" fillId="0" borderId="0"/>
    <xf numFmtId="0" fontId="3" fillId="0" borderId="0"/>
    <xf numFmtId="0" fontId="43" fillId="0" borderId="0"/>
    <xf numFmtId="0" fontId="2" fillId="0" borderId="0"/>
    <xf numFmtId="0" fontId="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8" fillId="0" borderId="0"/>
    <xf numFmtId="0" fontId="42" fillId="0" borderId="0"/>
    <xf numFmtId="0" fontId="3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>
      <alignment vertical="top"/>
    </xf>
    <xf numFmtId="0" fontId="18" fillId="0" borderId="0"/>
    <xf numFmtId="0" fontId="3" fillId="0" borderId="0"/>
    <xf numFmtId="0" fontId="42" fillId="0" borderId="0">
      <alignment vertical="top"/>
    </xf>
    <xf numFmtId="0" fontId="3" fillId="0" borderId="0"/>
    <xf numFmtId="0" fontId="42" fillId="0" borderId="0"/>
    <xf numFmtId="0" fontId="2" fillId="0" borderId="0"/>
    <xf numFmtId="0" fontId="42" fillId="0" borderId="0">
      <alignment vertical="top"/>
    </xf>
    <xf numFmtId="0" fontId="3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3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2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" fillId="0" borderId="0"/>
    <xf numFmtId="0" fontId="35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5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8" borderId="9" applyNumberFormat="0" applyFont="0" applyAlignment="0" applyProtection="0"/>
    <xf numFmtId="0" fontId="21" fillId="37" borderId="21" applyNumberFormat="0" applyFont="0" applyAlignment="0" applyProtection="0"/>
    <xf numFmtId="0" fontId="18" fillId="37" borderId="21" applyNumberFormat="0" applyFont="0" applyAlignment="0" applyProtection="0"/>
    <xf numFmtId="0" fontId="26" fillId="37" borderId="21" applyNumberFormat="0" applyFont="0" applyAlignment="0" applyProtection="0"/>
    <xf numFmtId="0" fontId="2" fillId="8" borderId="9" applyNumberFormat="0" applyFont="0" applyAlignment="0" applyProtection="0"/>
    <xf numFmtId="0" fontId="26" fillId="37" borderId="21" applyNumberFormat="0" applyFont="0" applyAlignment="0" applyProtection="0"/>
    <xf numFmtId="0" fontId="40" fillId="67" borderId="26" applyNumberFormat="0" applyBorder="0">
      <alignment horizontal="left" vertical="center"/>
    </xf>
    <xf numFmtId="2" fontId="40" fillId="67" borderId="20" applyNumberFormat="0" applyBorder="0">
      <alignment horizontal="left" vertical="center"/>
    </xf>
    <xf numFmtId="2" fontId="57" fillId="63" borderId="27" applyNumberFormat="0" applyBorder="0">
      <alignment horizontal="left" vertical="center"/>
    </xf>
    <xf numFmtId="2" fontId="57" fillId="63" borderId="20" applyNumberFormat="0" applyBorder="0">
      <alignment horizontal="left" vertical="center"/>
    </xf>
    <xf numFmtId="0" fontId="33" fillId="54" borderId="28" applyNumberFormat="0" applyAlignment="0" applyProtection="0"/>
    <xf numFmtId="0" fontId="78" fillId="54" borderId="28" applyNumberFormat="0" applyAlignment="0" applyProtection="0"/>
    <xf numFmtId="0" fontId="33" fillId="54" borderId="28" applyNumberFormat="0" applyAlignment="0" applyProtection="0"/>
    <xf numFmtId="0" fontId="18" fillId="68" borderId="0">
      <alignment horizontal="right" vertical="center"/>
    </xf>
    <xf numFmtId="19" fontId="18" fillId="68" borderId="24" applyNumberFormat="0" applyBorder="0">
      <alignment horizontal="right" vertical="center"/>
    </xf>
    <xf numFmtId="2" fontId="61" fillId="69" borderId="0">
      <alignment horizontal="center" vertical="center"/>
    </xf>
    <xf numFmtId="2" fontId="61" fillId="69" borderId="29">
      <alignment horizontal="left" vertical="center"/>
    </xf>
    <xf numFmtId="0" fontId="62" fillId="70" borderId="3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63" fillId="71" borderId="0">
      <alignment horizontal="center" vertical="center"/>
    </xf>
    <xf numFmtId="0" fontId="83" fillId="0" borderId="11"/>
    <xf numFmtId="180" fontId="64" fillId="72" borderId="0">
      <alignment horizontal="center" vertical="center"/>
      <protection locked="0"/>
    </xf>
    <xf numFmtId="0" fontId="18" fillId="0" borderId="0" applyFont="0" applyFill="0" applyBorder="0" applyAlignment="0" applyProtection="0"/>
    <xf numFmtId="0" fontId="21" fillId="0" borderId="0">
      <alignment vertical="top"/>
    </xf>
    <xf numFmtId="2" fontId="65" fillId="73" borderId="26" applyNumberFormat="0" applyFill="0" applyBorder="0" applyAlignment="0">
      <alignment horizontal="center"/>
      <protection locked="0"/>
    </xf>
    <xf numFmtId="2" fontId="84" fillId="0" borderId="11"/>
    <xf numFmtId="172" fontId="84" fillId="0" borderId="11"/>
    <xf numFmtId="2" fontId="85" fillId="74" borderId="11"/>
    <xf numFmtId="172" fontId="85" fillId="74" borderId="11"/>
    <xf numFmtId="2" fontId="18" fillId="75" borderId="20" applyBorder="0">
      <alignment horizontal="right" vertical="center"/>
    </xf>
    <xf numFmtId="2" fontId="18" fillId="75" borderId="0">
      <alignment horizontal="right" vertical="center"/>
    </xf>
    <xf numFmtId="2" fontId="57" fillId="76" borderId="30">
      <alignment horizontal="center" vertical="center"/>
    </xf>
    <xf numFmtId="2" fontId="57" fillId="76" borderId="0" applyNumberFormat="0" applyBorder="0">
      <alignment horizontal="left" vertical="center"/>
    </xf>
    <xf numFmtId="2" fontId="57" fillId="76" borderId="30">
      <alignment horizontal="center" vertical="center"/>
    </xf>
    <xf numFmtId="2" fontId="86" fillId="77" borderId="11"/>
    <xf numFmtId="172" fontId="86" fillId="77" borderId="11"/>
    <xf numFmtId="2" fontId="86" fillId="78" borderId="11"/>
    <xf numFmtId="172" fontId="86" fillId="78" borderId="11"/>
    <xf numFmtId="2" fontId="85" fillId="52" borderId="11"/>
    <xf numFmtId="172" fontId="85" fillId="52" borderId="11"/>
    <xf numFmtId="0" fontId="86" fillId="79" borderId="11"/>
    <xf numFmtId="2" fontId="86" fillId="80" borderId="11"/>
    <xf numFmtId="172" fontId="86" fillId="80" borderId="11"/>
    <xf numFmtId="0" fontId="87" fillId="81" borderId="11"/>
    <xf numFmtId="0" fontId="9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31" applyNumberFormat="0" applyFill="0" applyAlignment="0" applyProtection="0"/>
    <xf numFmtId="0" fontId="66" fillId="0" borderId="31" applyNumberFormat="0" applyFill="0" applyAlignment="0" applyProtection="0"/>
    <xf numFmtId="0" fontId="18" fillId="0" borderId="32" applyNumberFormat="0" applyFont="0" applyFill="0" applyAlignment="0" applyProtection="0"/>
    <xf numFmtId="0" fontId="34" fillId="0" borderId="31" applyNumberFormat="0" applyFill="0" applyAlignment="0" applyProtection="0"/>
    <xf numFmtId="0" fontId="17" fillId="0" borderId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0" fillId="58" borderId="21" applyNumberFormat="0" applyAlignment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43" fontId="2" fillId="0" borderId="0" applyFont="0" applyFill="0" applyBorder="0" applyAlignment="0" applyProtection="0"/>
    <xf numFmtId="0" fontId="92" fillId="0" borderId="0"/>
    <xf numFmtId="0" fontId="26" fillId="34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49" borderId="0" applyNumberFormat="0" applyBorder="0" applyAlignment="0" applyProtection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42" fillId="0" borderId="0"/>
    <xf numFmtId="0" fontId="42" fillId="0" borderId="0"/>
    <xf numFmtId="0" fontId="42" fillId="0" borderId="0"/>
    <xf numFmtId="9" fontId="92" fillId="0" borderId="0" applyFont="0" applyFill="0" applyBorder="0" applyAlignment="0" applyProtection="0"/>
    <xf numFmtId="0" fontId="93" fillId="0" borderId="0"/>
    <xf numFmtId="165" fontId="9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40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right"/>
    </xf>
    <xf numFmtId="10" fontId="0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0" fillId="0" borderId="0" xfId="2" applyFont="1"/>
    <xf numFmtId="4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15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>
      <alignment horizontal="right"/>
    </xf>
    <xf numFmtId="43" fontId="0" fillId="0" borderId="0" xfId="2" applyFont="1" applyBorder="1" applyAlignment="1"/>
    <xf numFmtId="0" fontId="1" fillId="0" borderId="0" xfId="0" applyFont="1" applyFill="1" applyBorder="1" applyAlignment="1">
      <alignment horizontal="center"/>
    </xf>
    <xf numFmtId="43" fontId="0" fillId="0" borderId="0" xfId="2" applyFont="1" applyBorder="1"/>
    <xf numFmtId="166" fontId="0" fillId="0" borderId="0" xfId="0" applyNumberFormat="1" applyFont="1" applyBorder="1" applyAlignment="1"/>
    <xf numFmtId="0" fontId="1" fillId="0" borderId="0" xfId="0" applyFont="1" applyAlignment="1"/>
    <xf numFmtId="0" fontId="0" fillId="0" borderId="0" xfId="0" applyFont="1" applyBorder="1" applyAlignment="1">
      <alignment horizontal="right"/>
    </xf>
    <xf numFmtId="15" fontId="0" fillId="0" borderId="0" xfId="1" applyNumberFormat="1" applyFont="1"/>
    <xf numFmtId="14" fontId="0" fillId="0" borderId="0" xfId="0" applyNumberFormat="1"/>
    <xf numFmtId="15" fontId="1" fillId="0" borderId="0" xfId="0" applyNumberFormat="1" applyFont="1" applyAlignment="1">
      <alignment horizontal="right"/>
    </xf>
    <xf numFmtId="0" fontId="0" fillId="0" borderId="0" xfId="0"/>
    <xf numFmtId="0" fontId="13" fillId="83" borderId="0" xfId="0" applyFont="1" applyFill="1" applyAlignment="1">
      <alignment horizontal="center"/>
    </xf>
    <xf numFmtId="183" fontId="13" fillId="83" borderId="0" xfId="2" applyNumberFormat="1" applyFont="1" applyFill="1" applyAlignment="1">
      <alignment horizontal="center"/>
    </xf>
    <xf numFmtId="0" fontId="13" fillId="83" borderId="0" xfId="0" applyFont="1" applyFill="1"/>
    <xf numFmtId="17" fontId="0" fillId="0" borderId="0" xfId="0" applyNumberFormat="1"/>
    <xf numFmtId="43" fontId="0" fillId="84" borderId="0" xfId="2" applyFont="1" applyFill="1"/>
    <xf numFmtId="183" fontId="0" fillId="84" borderId="0" xfId="2" applyNumberFormat="1" applyFont="1" applyFill="1"/>
    <xf numFmtId="0" fontId="0" fillId="84" borderId="0" xfId="0" applyFill="1"/>
    <xf numFmtId="184" fontId="0" fillId="84" borderId="0" xfId="0" applyNumberFormat="1" applyFill="1"/>
    <xf numFmtId="0" fontId="1" fillId="0" borderId="0" xfId="0" applyFont="1" applyAlignment="1">
      <alignment horizontal="center"/>
    </xf>
  </cellXfs>
  <cellStyles count="1291">
    <cellStyle name="_Energy Attrib" xfId="45" xr:uid="{00000000-0005-0000-0000-000000000000}"/>
    <cellStyle name="_i. Net Risk" xfId="46" xr:uid="{00000000-0005-0000-0000-000001000000}"/>
    <cellStyle name="_vi. Funding Summary" xfId="47" xr:uid="{00000000-0005-0000-0000-000002000000}"/>
    <cellStyle name="20% - Accent1" xfId="27" builtinId="30" customBuiltin="1"/>
    <cellStyle name="20% - Accent1 2" xfId="48" xr:uid="{00000000-0005-0000-0000-000004000000}"/>
    <cellStyle name="20% - Accent1 2 2" xfId="49" xr:uid="{00000000-0005-0000-0000-000005000000}"/>
    <cellStyle name="20% - Accent1 2 3" xfId="50" xr:uid="{00000000-0005-0000-0000-000006000000}"/>
    <cellStyle name="20% - Accent1 2 3 2" xfId="51" xr:uid="{00000000-0005-0000-0000-000007000000}"/>
    <cellStyle name="20% - Accent1 2 3 2 2" xfId="52" xr:uid="{00000000-0005-0000-0000-000008000000}"/>
    <cellStyle name="20% - Accent1 2 3 3" xfId="53" xr:uid="{00000000-0005-0000-0000-000009000000}"/>
    <cellStyle name="20% - Accent1 2 3 4" xfId="1253" xr:uid="{00000000-0005-0000-0000-00000A000000}"/>
    <cellStyle name="20% - Accent1 3" xfId="54" xr:uid="{00000000-0005-0000-0000-00000B000000}"/>
    <cellStyle name="20% - Accent2" xfId="30" builtinId="34" customBuiltin="1"/>
    <cellStyle name="20% - Accent2 2" xfId="55" xr:uid="{00000000-0005-0000-0000-00000D000000}"/>
    <cellStyle name="20% - Accent2 2 2" xfId="56" xr:uid="{00000000-0005-0000-0000-00000E000000}"/>
    <cellStyle name="20% - Accent2 2 3" xfId="57" xr:uid="{00000000-0005-0000-0000-00000F000000}"/>
    <cellStyle name="20% - Accent2 2 3 2" xfId="58" xr:uid="{00000000-0005-0000-0000-000010000000}"/>
    <cellStyle name="20% - Accent2 2 3 2 2" xfId="59" xr:uid="{00000000-0005-0000-0000-000011000000}"/>
    <cellStyle name="20% - Accent2 2 3 3" xfId="60" xr:uid="{00000000-0005-0000-0000-000012000000}"/>
    <cellStyle name="20% - Accent2 2 3 4" xfId="1254" xr:uid="{00000000-0005-0000-0000-000013000000}"/>
    <cellStyle name="20% - Accent2 3" xfId="61" xr:uid="{00000000-0005-0000-0000-000014000000}"/>
    <cellStyle name="20% - Accent3" xfId="33" builtinId="38" customBuiltin="1"/>
    <cellStyle name="20% - Accent3 2" xfId="62" xr:uid="{00000000-0005-0000-0000-000016000000}"/>
    <cellStyle name="20% - Accent3 2 2" xfId="63" xr:uid="{00000000-0005-0000-0000-000017000000}"/>
    <cellStyle name="20% - Accent3 2 3" xfId="64" xr:uid="{00000000-0005-0000-0000-000018000000}"/>
    <cellStyle name="20% - Accent3 2 3 2" xfId="65" xr:uid="{00000000-0005-0000-0000-000019000000}"/>
    <cellStyle name="20% - Accent3 2 3 2 2" xfId="66" xr:uid="{00000000-0005-0000-0000-00001A000000}"/>
    <cellStyle name="20% - Accent3 2 3 3" xfId="67" xr:uid="{00000000-0005-0000-0000-00001B000000}"/>
    <cellStyle name="20% - Accent3 2 3 4" xfId="1255" xr:uid="{00000000-0005-0000-0000-00001C000000}"/>
    <cellStyle name="20% - Accent3 3" xfId="68" xr:uid="{00000000-0005-0000-0000-00001D000000}"/>
    <cellStyle name="20% - Accent4" xfId="36" builtinId="42" customBuiltin="1"/>
    <cellStyle name="20% - Accent4 2" xfId="69" xr:uid="{00000000-0005-0000-0000-00001F000000}"/>
    <cellStyle name="20% - Accent4 2 2" xfId="70" xr:uid="{00000000-0005-0000-0000-000020000000}"/>
    <cellStyle name="20% - Accent4 2 3" xfId="71" xr:uid="{00000000-0005-0000-0000-000021000000}"/>
    <cellStyle name="20% - Accent4 2 3 2" xfId="72" xr:uid="{00000000-0005-0000-0000-000022000000}"/>
    <cellStyle name="20% - Accent4 2 3 2 2" xfId="73" xr:uid="{00000000-0005-0000-0000-000023000000}"/>
    <cellStyle name="20% - Accent4 2 3 3" xfId="74" xr:uid="{00000000-0005-0000-0000-000024000000}"/>
    <cellStyle name="20% - Accent4 2 3 4" xfId="1256" xr:uid="{00000000-0005-0000-0000-000025000000}"/>
    <cellStyle name="20% - Accent4 3" xfId="75" xr:uid="{00000000-0005-0000-0000-000026000000}"/>
    <cellStyle name="20% - Accent5" xfId="39" builtinId="46" customBuiltin="1"/>
    <cellStyle name="20% - Accent5 2" xfId="76" xr:uid="{00000000-0005-0000-0000-000028000000}"/>
    <cellStyle name="20% - Accent5 2 2" xfId="77" xr:uid="{00000000-0005-0000-0000-000029000000}"/>
    <cellStyle name="20% - Accent5 3" xfId="78" xr:uid="{00000000-0005-0000-0000-00002A000000}"/>
    <cellStyle name="20% - Accent6" xfId="42" builtinId="50" customBuiltin="1"/>
    <cellStyle name="20% - Accent6 2" xfId="79" xr:uid="{00000000-0005-0000-0000-00002C000000}"/>
    <cellStyle name="20% - Accent6 2 2" xfId="80" xr:uid="{00000000-0005-0000-0000-00002D000000}"/>
    <cellStyle name="20% - Accent6 3" xfId="81" xr:uid="{00000000-0005-0000-0000-00002E000000}"/>
    <cellStyle name="40% - Accent1" xfId="28" builtinId="31" customBuiltin="1"/>
    <cellStyle name="40% - Accent1 2" xfId="82" xr:uid="{00000000-0005-0000-0000-000030000000}"/>
    <cellStyle name="40% - Accent1 2 2" xfId="83" xr:uid="{00000000-0005-0000-0000-000031000000}"/>
    <cellStyle name="40% - Accent1 3" xfId="84" xr:uid="{00000000-0005-0000-0000-000032000000}"/>
    <cellStyle name="40% - Accent2" xfId="31" builtinId="35" customBuiltin="1"/>
    <cellStyle name="40% - Accent2 2" xfId="85" xr:uid="{00000000-0005-0000-0000-000034000000}"/>
    <cellStyle name="40% - Accent2 2 2" xfId="86" xr:uid="{00000000-0005-0000-0000-000035000000}"/>
    <cellStyle name="40% - Accent2 3" xfId="87" xr:uid="{00000000-0005-0000-0000-000036000000}"/>
    <cellStyle name="40% - Accent3" xfId="34" builtinId="39" customBuiltin="1"/>
    <cellStyle name="40% - Accent3 2" xfId="88" xr:uid="{00000000-0005-0000-0000-000038000000}"/>
    <cellStyle name="40% - Accent3 2 2" xfId="89" xr:uid="{00000000-0005-0000-0000-000039000000}"/>
    <cellStyle name="40% - Accent3 2 3" xfId="90" xr:uid="{00000000-0005-0000-0000-00003A000000}"/>
    <cellStyle name="40% - Accent3 2 3 2" xfId="91" xr:uid="{00000000-0005-0000-0000-00003B000000}"/>
    <cellStyle name="40% - Accent3 2 3 2 2" xfId="92" xr:uid="{00000000-0005-0000-0000-00003C000000}"/>
    <cellStyle name="40% - Accent3 2 3 3" xfId="93" xr:uid="{00000000-0005-0000-0000-00003D000000}"/>
    <cellStyle name="40% - Accent3 2 3 4" xfId="1257" xr:uid="{00000000-0005-0000-0000-00003E000000}"/>
    <cellStyle name="40% - Accent3 3" xfId="94" xr:uid="{00000000-0005-0000-0000-00003F000000}"/>
    <cellStyle name="40% - Accent4" xfId="37" builtinId="43" customBuiltin="1"/>
    <cellStyle name="40% - Accent4 2" xfId="95" xr:uid="{00000000-0005-0000-0000-000041000000}"/>
    <cellStyle name="40% - Accent4 2 2" xfId="96" xr:uid="{00000000-0005-0000-0000-000042000000}"/>
    <cellStyle name="40% - Accent4 3" xfId="97" xr:uid="{00000000-0005-0000-0000-000043000000}"/>
    <cellStyle name="40% - Accent5" xfId="40" builtinId="47" customBuiltin="1"/>
    <cellStyle name="40% - Accent5 2" xfId="98" xr:uid="{00000000-0005-0000-0000-000045000000}"/>
    <cellStyle name="40% - Accent5 2 2" xfId="99" xr:uid="{00000000-0005-0000-0000-000046000000}"/>
    <cellStyle name="40% - Accent5 3" xfId="100" xr:uid="{00000000-0005-0000-0000-000047000000}"/>
    <cellStyle name="40% - Accent6" xfId="43" builtinId="51" customBuiltin="1"/>
    <cellStyle name="40% - Accent6 2" xfId="101" xr:uid="{00000000-0005-0000-0000-000049000000}"/>
    <cellStyle name="40% - Accent6 2 2" xfId="102" xr:uid="{00000000-0005-0000-0000-00004A000000}"/>
    <cellStyle name="40% - Accent6 3" xfId="103" xr:uid="{00000000-0005-0000-0000-00004B000000}"/>
    <cellStyle name="60% - Accent1 2" xfId="105" xr:uid="{00000000-0005-0000-0000-00004C000000}"/>
    <cellStyle name="60% - Accent1 2 2" xfId="106" xr:uid="{00000000-0005-0000-0000-00004D000000}"/>
    <cellStyle name="60% - Accent1 3" xfId="107" xr:uid="{00000000-0005-0000-0000-00004E000000}"/>
    <cellStyle name="60% - Accent1 4" xfId="104" xr:uid="{00000000-0005-0000-0000-00004F000000}"/>
    <cellStyle name="60% - Accent2 2" xfId="109" xr:uid="{00000000-0005-0000-0000-000050000000}"/>
    <cellStyle name="60% - Accent2 2 2" xfId="110" xr:uid="{00000000-0005-0000-0000-000051000000}"/>
    <cellStyle name="60% - Accent2 3" xfId="111" xr:uid="{00000000-0005-0000-0000-000052000000}"/>
    <cellStyle name="60% - Accent2 4" xfId="108" xr:uid="{00000000-0005-0000-0000-000053000000}"/>
    <cellStyle name="60% - Accent3 2" xfId="113" xr:uid="{00000000-0005-0000-0000-000054000000}"/>
    <cellStyle name="60% - Accent3 2 2" xfId="114" xr:uid="{00000000-0005-0000-0000-000055000000}"/>
    <cellStyle name="60% - Accent3 2 3" xfId="115" xr:uid="{00000000-0005-0000-0000-000056000000}"/>
    <cellStyle name="60% - Accent3 2 3 2" xfId="116" xr:uid="{00000000-0005-0000-0000-000057000000}"/>
    <cellStyle name="60% - Accent3 2 3 3" xfId="117" xr:uid="{00000000-0005-0000-0000-000058000000}"/>
    <cellStyle name="60% - Accent3 2 3 4" xfId="1258" xr:uid="{00000000-0005-0000-0000-000059000000}"/>
    <cellStyle name="60% - Accent3 3" xfId="118" xr:uid="{00000000-0005-0000-0000-00005A000000}"/>
    <cellStyle name="60% - Accent3 4" xfId="112" xr:uid="{00000000-0005-0000-0000-00005B000000}"/>
    <cellStyle name="60% - Accent4 2" xfId="120" xr:uid="{00000000-0005-0000-0000-00005C000000}"/>
    <cellStyle name="60% - Accent4 2 2" xfId="121" xr:uid="{00000000-0005-0000-0000-00005D000000}"/>
    <cellStyle name="60% - Accent4 2 3" xfId="122" xr:uid="{00000000-0005-0000-0000-00005E000000}"/>
    <cellStyle name="60% - Accent4 2 3 2" xfId="123" xr:uid="{00000000-0005-0000-0000-00005F000000}"/>
    <cellStyle name="60% - Accent4 2 3 3" xfId="124" xr:uid="{00000000-0005-0000-0000-000060000000}"/>
    <cellStyle name="60% - Accent4 2 3 4" xfId="1259" xr:uid="{00000000-0005-0000-0000-000061000000}"/>
    <cellStyle name="60% - Accent4 3" xfId="125" xr:uid="{00000000-0005-0000-0000-000062000000}"/>
    <cellStyle name="60% - Accent4 4" xfId="119" xr:uid="{00000000-0005-0000-0000-000063000000}"/>
    <cellStyle name="60% - Accent5 2" xfId="127" xr:uid="{00000000-0005-0000-0000-000064000000}"/>
    <cellStyle name="60% - Accent5 2 2" xfId="128" xr:uid="{00000000-0005-0000-0000-000065000000}"/>
    <cellStyle name="60% - Accent5 3" xfId="129" xr:uid="{00000000-0005-0000-0000-000066000000}"/>
    <cellStyle name="60% - Accent5 4" xfId="126" xr:uid="{00000000-0005-0000-0000-000067000000}"/>
    <cellStyle name="60% - Accent6 2" xfId="131" xr:uid="{00000000-0005-0000-0000-000068000000}"/>
    <cellStyle name="60% - Accent6 2 2" xfId="132" xr:uid="{00000000-0005-0000-0000-000069000000}"/>
    <cellStyle name="60% - Accent6 2 3" xfId="133" xr:uid="{00000000-0005-0000-0000-00006A000000}"/>
    <cellStyle name="60% - Accent6 2 3 2" xfId="134" xr:uid="{00000000-0005-0000-0000-00006B000000}"/>
    <cellStyle name="60% - Accent6 2 3 3" xfId="135" xr:uid="{00000000-0005-0000-0000-00006C000000}"/>
    <cellStyle name="60% - Accent6 2 3 4" xfId="1260" xr:uid="{00000000-0005-0000-0000-00006D000000}"/>
    <cellStyle name="60% - Accent6 3" xfId="136" xr:uid="{00000000-0005-0000-0000-00006E000000}"/>
    <cellStyle name="60% - Accent6 4" xfId="130" xr:uid="{00000000-0005-0000-0000-00006F000000}"/>
    <cellStyle name="Accent1" xfId="26" builtinId="29" customBuiltin="1"/>
    <cellStyle name="Accent1 2" xfId="137" xr:uid="{00000000-0005-0000-0000-000071000000}"/>
    <cellStyle name="Accent1 2 2" xfId="138" xr:uid="{00000000-0005-0000-0000-000072000000}"/>
    <cellStyle name="Accent1 3" xfId="139" xr:uid="{00000000-0005-0000-0000-000073000000}"/>
    <cellStyle name="Accent2" xfId="29" builtinId="33" customBuiltin="1"/>
    <cellStyle name="Accent2 2" xfId="140" xr:uid="{00000000-0005-0000-0000-000075000000}"/>
    <cellStyle name="Accent2 2 2" xfId="141" xr:uid="{00000000-0005-0000-0000-000076000000}"/>
    <cellStyle name="Accent2 3" xfId="142" xr:uid="{00000000-0005-0000-0000-000077000000}"/>
    <cellStyle name="Accent3" xfId="32" builtinId="37" customBuiltin="1"/>
    <cellStyle name="Accent3 2" xfId="143" xr:uid="{00000000-0005-0000-0000-000079000000}"/>
    <cellStyle name="Accent3 2 2" xfId="144" xr:uid="{00000000-0005-0000-0000-00007A000000}"/>
    <cellStyle name="Accent3 3" xfId="145" xr:uid="{00000000-0005-0000-0000-00007B000000}"/>
    <cellStyle name="Accent4" xfId="35" builtinId="41" customBuiltin="1"/>
    <cellStyle name="Accent4 2" xfId="146" xr:uid="{00000000-0005-0000-0000-00007D000000}"/>
    <cellStyle name="Accent4 2 2" xfId="147" xr:uid="{00000000-0005-0000-0000-00007E000000}"/>
    <cellStyle name="Accent4 3" xfId="148" xr:uid="{00000000-0005-0000-0000-00007F000000}"/>
    <cellStyle name="Accent5" xfId="38" builtinId="45" customBuiltin="1"/>
    <cellStyle name="Accent5 2" xfId="149" xr:uid="{00000000-0005-0000-0000-000081000000}"/>
    <cellStyle name="Accent5 2 2" xfId="150" xr:uid="{00000000-0005-0000-0000-000082000000}"/>
    <cellStyle name="Accent5 3" xfId="151" xr:uid="{00000000-0005-0000-0000-000083000000}"/>
    <cellStyle name="Accent6" xfId="41" builtinId="49" customBuiltin="1"/>
    <cellStyle name="Accent6 2" xfId="152" xr:uid="{00000000-0005-0000-0000-000085000000}"/>
    <cellStyle name="Accent6 2 2" xfId="153" xr:uid="{00000000-0005-0000-0000-000086000000}"/>
    <cellStyle name="Accent6 3" xfId="154" xr:uid="{00000000-0005-0000-0000-000087000000}"/>
    <cellStyle name="args.style" xfId="155" xr:uid="{00000000-0005-0000-0000-000088000000}"/>
    <cellStyle name="back" xfId="156" xr:uid="{00000000-0005-0000-0000-000089000000}"/>
    <cellStyle name="Bad" xfId="18" builtinId="27" customBuiltin="1"/>
    <cellStyle name="Bad 2" xfId="157" xr:uid="{00000000-0005-0000-0000-00008B000000}"/>
    <cellStyle name="Bad 2 2" xfId="158" xr:uid="{00000000-0005-0000-0000-00008C000000}"/>
    <cellStyle name="Bad 3" xfId="159" xr:uid="{00000000-0005-0000-0000-00008D000000}"/>
    <cellStyle name="blp_column_header" xfId="160" xr:uid="{00000000-0005-0000-0000-00008E000000}"/>
    <cellStyle name="Box" xfId="161" xr:uid="{00000000-0005-0000-0000-00008F000000}"/>
    <cellStyle name="Calculation" xfId="20" builtinId="22" customBuiltin="1"/>
    <cellStyle name="Calculation 2" xfId="162" xr:uid="{00000000-0005-0000-0000-000091000000}"/>
    <cellStyle name="Calculation 2 2" xfId="163" xr:uid="{00000000-0005-0000-0000-000092000000}"/>
    <cellStyle name="Calculation 3" xfId="164" xr:uid="{00000000-0005-0000-0000-000093000000}"/>
    <cellStyle name="Check Cell" xfId="22" builtinId="23" customBuiltin="1"/>
    <cellStyle name="Check Cell 2" xfId="165" xr:uid="{00000000-0005-0000-0000-000095000000}"/>
    <cellStyle name="Check Cell 2 2" xfId="166" xr:uid="{00000000-0005-0000-0000-000096000000}"/>
    <cellStyle name="Check Cell 3" xfId="167" xr:uid="{00000000-0005-0000-0000-000097000000}"/>
    <cellStyle name="Comma" xfId="2" builtinId="3"/>
    <cellStyle name="Comma 10" xfId="169" xr:uid="{00000000-0005-0000-0000-000099000000}"/>
    <cellStyle name="Comma 10 2" xfId="3" xr:uid="{00000000-0005-0000-0000-00009A000000}"/>
    <cellStyle name="Comma 10 2 2" xfId="170" xr:uid="{00000000-0005-0000-0000-00009B000000}"/>
    <cellStyle name="Comma 10 2 3" xfId="4" xr:uid="{00000000-0005-0000-0000-00009C000000}"/>
    <cellStyle name="Comma 10 3" xfId="8" xr:uid="{00000000-0005-0000-0000-00009D000000}"/>
    <cellStyle name="Comma 10 4" xfId="171" xr:uid="{00000000-0005-0000-0000-00009E000000}"/>
    <cellStyle name="Comma 10 5" xfId="172" xr:uid="{00000000-0005-0000-0000-00009F000000}"/>
    <cellStyle name="Comma 10 6" xfId="173" xr:uid="{00000000-0005-0000-0000-0000A0000000}"/>
    <cellStyle name="Comma 11" xfId="174" xr:uid="{00000000-0005-0000-0000-0000A1000000}"/>
    <cellStyle name="Comma 11 2" xfId="175" xr:uid="{00000000-0005-0000-0000-0000A2000000}"/>
    <cellStyle name="Comma 11 2 2" xfId="176" xr:uid="{00000000-0005-0000-0000-0000A3000000}"/>
    <cellStyle name="Comma 11 3" xfId="177" xr:uid="{00000000-0005-0000-0000-0000A4000000}"/>
    <cellStyle name="Comma 11 4" xfId="178" xr:uid="{00000000-0005-0000-0000-0000A5000000}"/>
    <cellStyle name="Comma 11 5" xfId="179" xr:uid="{00000000-0005-0000-0000-0000A6000000}"/>
    <cellStyle name="Comma 12" xfId="180" xr:uid="{00000000-0005-0000-0000-0000A7000000}"/>
    <cellStyle name="Comma 12 2" xfId="181" xr:uid="{00000000-0005-0000-0000-0000A8000000}"/>
    <cellStyle name="Comma 12 2 2" xfId="182" xr:uid="{00000000-0005-0000-0000-0000A9000000}"/>
    <cellStyle name="Comma 12 2 3" xfId="183" xr:uid="{00000000-0005-0000-0000-0000AA000000}"/>
    <cellStyle name="Comma 12 3" xfId="184" xr:uid="{00000000-0005-0000-0000-0000AB000000}"/>
    <cellStyle name="Comma 12 4" xfId="185" xr:uid="{00000000-0005-0000-0000-0000AC000000}"/>
    <cellStyle name="Comma 13" xfId="186" xr:uid="{00000000-0005-0000-0000-0000AD000000}"/>
    <cellStyle name="Comma 13 2" xfId="187" xr:uid="{00000000-0005-0000-0000-0000AE000000}"/>
    <cellStyle name="Comma 13 3" xfId="188" xr:uid="{00000000-0005-0000-0000-0000AF000000}"/>
    <cellStyle name="Comma 13 3 2" xfId="1242" xr:uid="{00000000-0005-0000-0000-0000B0000000}"/>
    <cellStyle name="Comma 13 3 3" xfId="1263" xr:uid="{00000000-0005-0000-0000-0000B1000000}"/>
    <cellStyle name="Comma 13 3 4" xfId="1284" xr:uid="{00000000-0005-0000-0000-000010050000}"/>
    <cellStyle name="Comma 13 4" xfId="189" xr:uid="{00000000-0005-0000-0000-0000B2000000}"/>
    <cellStyle name="Comma 13 5" xfId="190" xr:uid="{00000000-0005-0000-0000-0000B3000000}"/>
    <cellStyle name="Comma 13 5 2" xfId="1243" xr:uid="{00000000-0005-0000-0000-0000B4000000}"/>
    <cellStyle name="Comma 13 5 3" xfId="1285" xr:uid="{00000000-0005-0000-0000-000011050000}"/>
    <cellStyle name="Comma 13 6" xfId="191" xr:uid="{00000000-0005-0000-0000-0000B5000000}"/>
    <cellStyle name="Comma 13 7" xfId="192" xr:uid="{00000000-0005-0000-0000-0000B6000000}"/>
    <cellStyle name="Comma 13 8" xfId="1262" xr:uid="{00000000-0005-0000-0000-0000B7000000}"/>
    <cellStyle name="Comma 14" xfId="193" xr:uid="{00000000-0005-0000-0000-0000B8000000}"/>
    <cellStyle name="Comma 14 2" xfId="194" xr:uid="{00000000-0005-0000-0000-0000B9000000}"/>
    <cellStyle name="Comma 14 2 2" xfId="195" xr:uid="{00000000-0005-0000-0000-0000BA000000}"/>
    <cellStyle name="Comma 14 2 3" xfId="196" xr:uid="{00000000-0005-0000-0000-0000BB000000}"/>
    <cellStyle name="Comma 14 2 3 2" xfId="1266" xr:uid="{00000000-0005-0000-0000-0000BC000000}"/>
    <cellStyle name="Comma 14 2 4" xfId="1265" xr:uid="{00000000-0005-0000-0000-0000BD000000}"/>
    <cellStyle name="Comma 14 3" xfId="197" xr:uid="{00000000-0005-0000-0000-0000BE000000}"/>
    <cellStyle name="Comma 14 4" xfId="1264" xr:uid="{00000000-0005-0000-0000-0000BF000000}"/>
    <cellStyle name="Comma 15" xfId="198" xr:uid="{00000000-0005-0000-0000-0000C0000000}"/>
    <cellStyle name="Comma 15 2" xfId="199" xr:uid="{00000000-0005-0000-0000-0000C1000000}"/>
    <cellStyle name="Comma 15 3" xfId="200" xr:uid="{00000000-0005-0000-0000-0000C2000000}"/>
    <cellStyle name="Comma 16" xfId="201" xr:uid="{00000000-0005-0000-0000-0000C3000000}"/>
    <cellStyle name="Comma 16 2" xfId="202" xr:uid="{00000000-0005-0000-0000-0000C4000000}"/>
    <cellStyle name="Comma 16 2 2" xfId="1268" xr:uid="{00000000-0005-0000-0000-0000C5000000}"/>
    <cellStyle name="Comma 16 3" xfId="203" xr:uid="{00000000-0005-0000-0000-0000C6000000}"/>
    <cellStyle name="Comma 16 4" xfId="1267" xr:uid="{00000000-0005-0000-0000-0000C7000000}"/>
    <cellStyle name="Comma 17" xfId="204" xr:uid="{00000000-0005-0000-0000-0000C8000000}"/>
    <cellStyle name="Comma 17 2" xfId="205" xr:uid="{00000000-0005-0000-0000-0000C9000000}"/>
    <cellStyle name="Comma 17 3" xfId="206" xr:uid="{00000000-0005-0000-0000-0000CA000000}"/>
    <cellStyle name="Comma 18" xfId="207" xr:uid="{00000000-0005-0000-0000-0000CB000000}"/>
    <cellStyle name="Comma 18 2" xfId="208" xr:uid="{00000000-0005-0000-0000-0000CC000000}"/>
    <cellStyle name="Comma 18 3" xfId="209" xr:uid="{00000000-0005-0000-0000-0000CD000000}"/>
    <cellStyle name="Comma 19" xfId="210" xr:uid="{00000000-0005-0000-0000-0000CE000000}"/>
    <cellStyle name="Comma 19 2" xfId="211" xr:uid="{00000000-0005-0000-0000-0000CF000000}"/>
    <cellStyle name="Comma 2" xfId="212" xr:uid="{00000000-0005-0000-0000-0000D0000000}"/>
    <cellStyle name="Comma 2 2" xfId="213" xr:uid="{00000000-0005-0000-0000-0000D1000000}"/>
    <cellStyle name="Comma 2 2 2" xfId="214" xr:uid="{00000000-0005-0000-0000-0000D2000000}"/>
    <cellStyle name="Comma 2 2 3" xfId="215" xr:uid="{00000000-0005-0000-0000-0000D3000000}"/>
    <cellStyle name="Comma 2 2 3 2" xfId="1244" xr:uid="{00000000-0005-0000-0000-0000D4000000}"/>
    <cellStyle name="Comma 2 2 3 3" xfId="1269" xr:uid="{00000000-0005-0000-0000-0000D5000000}"/>
    <cellStyle name="Comma 2 2 3 4" xfId="1286" xr:uid="{00000000-0005-0000-0000-000012050000}"/>
    <cellStyle name="Comma 2 2 4" xfId="216" xr:uid="{00000000-0005-0000-0000-0000D6000000}"/>
    <cellStyle name="Comma 2 3" xfId="217" xr:uid="{00000000-0005-0000-0000-0000D7000000}"/>
    <cellStyle name="Comma 2 3 2" xfId="218" xr:uid="{00000000-0005-0000-0000-0000D8000000}"/>
    <cellStyle name="Comma 2 3 3" xfId="219" xr:uid="{00000000-0005-0000-0000-0000D9000000}"/>
    <cellStyle name="Comma 2 3 3 2" xfId="1245" xr:uid="{00000000-0005-0000-0000-0000DA000000}"/>
    <cellStyle name="Comma 2 3 3 3" xfId="1270" xr:uid="{00000000-0005-0000-0000-0000DB000000}"/>
    <cellStyle name="Comma 2 3 3 4" xfId="1287" xr:uid="{00000000-0005-0000-0000-000013050000}"/>
    <cellStyle name="Comma 2 3 4" xfId="220" xr:uid="{00000000-0005-0000-0000-0000DC000000}"/>
    <cellStyle name="Comma 2 4" xfId="221" xr:uid="{00000000-0005-0000-0000-0000DD000000}"/>
    <cellStyle name="Comma 2 4 2" xfId="222" xr:uid="{00000000-0005-0000-0000-0000DE000000}"/>
    <cellStyle name="Comma 2 4 3" xfId="223" xr:uid="{00000000-0005-0000-0000-0000DF000000}"/>
    <cellStyle name="Comma 2 5" xfId="224" xr:uid="{00000000-0005-0000-0000-0000E0000000}"/>
    <cellStyle name="Comma 2 6" xfId="225" xr:uid="{00000000-0005-0000-0000-0000E1000000}"/>
    <cellStyle name="Comma 2 6 2" xfId="226" xr:uid="{00000000-0005-0000-0000-0000E2000000}"/>
    <cellStyle name="Comma 2 6 3" xfId="227" xr:uid="{00000000-0005-0000-0000-0000E3000000}"/>
    <cellStyle name="Comma 2 6 4" xfId="1271" xr:uid="{00000000-0005-0000-0000-0000E4000000}"/>
    <cellStyle name="Comma 2 7" xfId="228" xr:uid="{00000000-0005-0000-0000-0000E5000000}"/>
    <cellStyle name="Comma 2 7 2" xfId="229" xr:uid="{00000000-0005-0000-0000-0000E6000000}"/>
    <cellStyle name="Comma 2 7 3" xfId="230" xr:uid="{00000000-0005-0000-0000-0000E7000000}"/>
    <cellStyle name="Comma 2 8" xfId="231" xr:uid="{00000000-0005-0000-0000-0000E8000000}"/>
    <cellStyle name="Comma 2 8 2" xfId="1246" xr:uid="{00000000-0005-0000-0000-0000E9000000}"/>
    <cellStyle name="Comma 2 8 3" xfId="1272" xr:uid="{00000000-0005-0000-0000-0000EA000000}"/>
    <cellStyle name="Comma 2 8 4" xfId="1288" xr:uid="{00000000-0005-0000-0000-000014050000}"/>
    <cellStyle name="Comma 2 9" xfId="1273" xr:uid="{00000000-0005-0000-0000-0000EB000000}"/>
    <cellStyle name="Comma 20" xfId="232" xr:uid="{00000000-0005-0000-0000-0000EC000000}"/>
    <cellStyle name="Comma 20 2" xfId="233" xr:uid="{00000000-0005-0000-0000-0000ED000000}"/>
    <cellStyle name="Comma 20 3" xfId="234" xr:uid="{00000000-0005-0000-0000-0000EE000000}"/>
    <cellStyle name="Comma 21" xfId="235" xr:uid="{00000000-0005-0000-0000-0000EF000000}"/>
    <cellStyle name="Comma 21 2" xfId="236" xr:uid="{00000000-0005-0000-0000-0000F0000000}"/>
    <cellStyle name="Comma 22" xfId="237" xr:uid="{00000000-0005-0000-0000-0000F1000000}"/>
    <cellStyle name="Comma 22 2" xfId="238" xr:uid="{00000000-0005-0000-0000-0000F2000000}"/>
    <cellStyle name="Comma 23" xfId="239" xr:uid="{00000000-0005-0000-0000-0000F3000000}"/>
    <cellStyle name="Comma 23 2" xfId="240" xr:uid="{00000000-0005-0000-0000-0000F4000000}"/>
    <cellStyle name="Comma 23 3" xfId="241" xr:uid="{00000000-0005-0000-0000-0000F5000000}"/>
    <cellStyle name="Comma 24" xfId="242" xr:uid="{00000000-0005-0000-0000-0000F6000000}"/>
    <cellStyle name="Comma 24 2" xfId="243" xr:uid="{00000000-0005-0000-0000-0000F7000000}"/>
    <cellStyle name="Comma 25" xfId="244" xr:uid="{00000000-0005-0000-0000-0000F8000000}"/>
    <cellStyle name="Comma 25 2" xfId="245" xr:uid="{00000000-0005-0000-0000-0000F9000000}"/>
    <cellStyle name="Comma 26" xfId="246" xr:uid="{00000000-0005-0000-0000-0000FA000000}"/>
    <cellStyle name="Comma 26 2" xfId="247" xr:uid="{00000000-0005-0000-0000-0000FB000000}"/>
    <cellStyle name="Comma 27" xfId="248" xr:uid="{00000000-0005-0000-0000-0000FC000000}"/>
    <cellStyle name="Comma 27 2" xfId="249" xr:uid="{00000000-0005-0000-0000-0000FD000000}"/>
    <cellStyle name="Comma 28" xfId="250" xr:uid="{00000000-0005-0000-0000-0000FE000000}"/>
    <cellStyle name="Comma 28 2" xfId="251" xr:uid="{00000000-0005-0000-0000-0000FF000000}"/>
    <cellStyle name="Comma 29" xfId="252" xr:uid="{00000000-0005-0000-0000-000000010000}"/>
    <cellStyle name="Comma 29 2" xfId="253" xr:uid="{00000000-0005-0000-0000-000001010000}"/>
    <cellStyle name="Comma 3" xfId="254" xr:uid="{00000000-0005-0000-0000-000002010000}"/>
    <cellStyle name="Comma 3 2" xfId="255" xr:uid="{00000000-0005-0000-0000-000003010000}"/>
    <cellStyle name="Comma 3 2 2" xfId="256" xr:uid="{00000000-0005-0000-0000-000004010000}"/>
    <cellStyle name="Comma 3 2 3" xfId="257" xr:uid="{00000000-0005-0000-0000-000005010000}"/>
    <cellStyle name="Comma 3 2 4" xfId="258" xr:uid="{00000000-0005-0000-0000-000006010000}"/>
    <cellStyle name="Comma 3 2 5" xfId="259" xr:uid="{00000000-0005-0000-0000-000007010000}"/>
    <cellStyle name="Comma 3 3" xfId="260" xr:uid="{00000000-0005-0000-0000-000008010000}"/>
    <cellStyle name="Comma 3 3 2" xfId="261" xr:uid="{00000000-0005-0000-0000-000009010000}"/>
    <cellStyle name="Comma 3 3 2 2" xfId="1274" xr:uid="{00000000-0005-0000-0000-00000A010000}"/>
    <cellStyle name="Comma 3 3 3" xfId="262" xr:uid="{00000000-0005-0000-0000-00000B010000}"/>
    <cellStyle name="Comma 3 3 4" xfId="263" xr:uid="{00000000-0005-0000-0000-00000C010000}"/>
    <cellStyle name="Comma 3 4" xfId="264" xr:uid="{00000000-0005-0000-0000-00000D010000}"/>
    <cellStyle name="Comma 3 5" xfId="265" xr:uid="{00000000-0005-0000-0000-00000E010000}"/>
    <cellStyle name="Comma 3 6" xfId="266" xr:uid="{00000000-0005-0000-0000-00000F010000}"/>
    <cellStyle name="Comma 3 7" xfId="267" xr:uid="{00000000-0005-0000-0000-000010010000}"/>
    <cellStyle name="Comma 3 7 2" xfId="268" xr:uid="{00000000-0005-0000-0000-000011010000}"/>
    <cellStyle name="Comma 3 8" xfId="269" xr:uid="{00000000-0005-0000-0000-000012010000}"/>
    <cellStyle name="Comma 30" xfId="270" xr:uid="{00000000-0005-0000-0000-000013010000}"/>
    <cellStyle name="Comma 30 2" xfId="271" xr:uid="{00000000-0005-0000-0000-000014010000}"/>
    <cellStyle name="Comma 31" xfId="272" xr:uid="{00000000-0005-0000-0000-000015010000}"/>
    <cellStyle name="Comma 31 2" xfId="273" xr:uid="{00000000-0005-0000-0000-000016010000}"/>
    <cellStyle name="Comma 31 3" xfId="274" xr:uid="{00000000-0005-0000-0000-000017010000}"/>
    <cellStyle name="Comma 32" xfId="275" xr:uid="{00000000-0005-0000-0000-000018010000}"/>
    <cellStyle name="Comma 32 2" xfId="276" xr:uid="{00000000-0005-0000-0000-000019010000}"/>
    <cellStyle name="Comma 33" xfId="277" xr:uid="{00000000-0005-0000-0000-00001A010000}"/>
    <cellStyle name="Comma 33 2" xfId="278" xr:uid="{00000000-0005-0000-0000-00001B010000}"/>
    <cellStyle name="Comma 33 3" xfId="279" xr:uid="{00000000-0005-0000-0000-00001C010000}"/>
    <cellStyle name="Comma 34" xfId="280" xr:uid="{00000000-0005-0000-0000-00001D010000}"/>
    <cellStyle name="Comma 34 2" xfId="281" xr:uid="{00000000-0005-0000-0000-00001E010000}"/>
    <cellStyle name="Comma 35" xfId="282" xr:uid="{00000000-0005-0000-0000-00001F010000}"/>
    <cellStyle name="Comma 35 2" xfId="283" xr:uid="{00000000-0005-0000-0000-000020010000}"/>
    <cellStyle name="Comma 36" xfId="284" xr:uid="{00000000-0005-0000-0000-000021010000}"/>
    <cellStyle name="Comma 36 2" xfId="285" xr:uid="{00000000-0005-0000-0000-000022010000}"/>
    <cellStyle name="Comma 37" xfId="286" xr:uid="{00000000-0005-0000-0000-000023010000}"/>
    <cellStyle name="Comma 37 2" xfId="287" xr:uid="{00000000-0005-0000-0000-000024010000}"/>
    <cellStyle name="Comma 37 3" xfId="1261" xr:uid="{00000000-0005-0000-0000-000025010000}"/>
    <cellStyle name="Comma 38" xfId="288" xr:uid="{00000000-0005-0000-0000-000026010000}"/>
    <cellStyle name="Comma 38 2" xfId="289" xr:uid="{00000000-0005-0000-0000-000027010000}"/>
    <cellStyle name="Comma 39" xfId="290" xr:uid="{00000000-0005-0000-0000-000028010000}"/>
    <cellStyle name="Comma 39 2" xfId="291" xr:uid="{00000000-0005-0000-0000-000029010000}"/>
    <cellStyle name="Comma 4" xfId="292" xr:uid="{00000000-0005-0000-0000-00002A010000}"/>
    <cellStyle name="Comma 4 2" xfId="293" xr:uid="{00000000-0005-0000-0000-00002B010000}"/>
    <cellStyle name="Comma 4 2 2" xfId="294" xr:uid="{00000000-0005-0000-0000-00002C010000}"/>
    <cellStyle name="Comma 4 2 3" xfId="295" xr:uid="{00000000-0005-0000-0000-00002D010000}"/>
    <cellStyle name="Comma 4 2 4" xfId="296" xr:uid="{00000000-0005-0000-0000-00002E010000}"/>
    <cellStyle name="Comma 4 3" xfId="297" xr:uid="{00000000-0005-0000-0000-00002F010000}"/>
    <cellStyle name="Comma 4 3 2" xfId="298" xr:uid="{00000000-0005-0000-0000-000030010000}"/>
    <cellStyle name="Comma 4 4" xfId="299" xr:uid="{00000000-0005-0000-0000-000031010000}"/>
    <cellStyle name="Comma 4 5" xfId="300" xr:uid="{00000000-0005-0000-0000-000032010000}"/>
    <cellStyle name="Comma 4 6" xfId="301" xr:uid="{00000000-0005-0000-0000-000033010000}"/>
    <cellStyle name="Comma 4 6 2" xfId="1247" xr:uid="{00000000-0005-0000-0000-000034010000}"/>
    <cellStyle name="Comma 4 6 3" xfId="1275" xr:uid="{00000000-0005-0000-0000-000035010000}"/>
    <cellStyle name="Comma 4 6 4" xfId="1289" xr:uid="{00000000-0005-0000-0000-000015050000}"/>
    <cellStyle name="Comma 40" xfId="302" xr:uid="{00000000-0005-0000-0000-000036010000}"/>
    <cellStyle name="Comma 40 2" xfId="303" xr:uid="{00000000-0005-0000-0000-000037010000}"/>
    <cellStyle name="Comma 41" xfId="304" xr:uid="{00000000-0005-0000-0000-000038010000}"/>
    <cellStyle name="Comma 41 2" xfId="305" xr:uid="{00000000-0005-0000-0000-000039010000}"/>
    <cellStyle name="Comma 42" xfId="306" xr:uid="{00000000-0005-0000-0000-00003A010000}"/>
    <cellStyle name="Comma 42 2" xfId="307" xr:uid="{00000000-0005-0000-0000-00003B010000}"/>
    <cellStyle name="Comma 42 3" xfId="308" xr:uid="{00000000-0005-0000-0000-00003C010000}"/>
    <cellStyle name="Comma 43" xfId="309" xr:uid="{00000000-0005-0000-0000-00003D010000}"/>
    <cellStyle name="Comma 43 2" xfId="310" xr:uid="{00000000-0005-0000-0000-00003E010000}"/>
    <cellStyle name="Comma 44" xfId="311" xr:uid="{00000000-0005-0000-0000-00003F010000}"/>
    <cellStyle name="Comma 44 2" xfId="312" xr:uid="{00000000-0005-0000-0000-000040010000}"/>
    <cellStyle name="Comma 45" xfId="313" xr:uid="{00000000-0005-0000-0000-000041010000}"/>
    <cellStyle name="Comma 45 2" xfId="314" xr:uid="{00000000-0005-0000-0000-000042010000}"/>
    <cellStyle name="Comma 46" xfId="315" xr:uid="{00000000-0005-0000-0000-000043010000}"/>
    <cellStyle name="Comma 46 2" xfId="316" xr:uid="{00000000-0005-0000-0000-000044010000}"/>
    <cellStyle name="Comma 47" xfId="317" xr:uid="{00000000-0005-0000-0000-000045010000}"/>
    <cellStyle name="Comma 47 2" xfId="318" xr:uid="{00000000-0005-0000-0000-000046010000}"/>
    <cellStyle name="Comma 48" xfId="319" xr:uid="{00000000-0005-0000-0000-000047010000}"/>
    <cellStyle name="Comma 48 2" xfId="320" xr:uid="{00000000-0005-0000-0000-000048010000}"/>
    <cellStyle name="Comma 49" xfId="321" xr:uid="{00000000-0005-0000-0000-000049010000}"/>
    <cellStyle name="Comma 49 2" xfId="322" xr:uid="{00000000-0005-0000-0000-00004A010000}"/>
    <cellStyle name="Comma 5" xfId="323" xr:uid="{00000000-0005-0000-0000-00004B010000}"/>
    <cellStyle name="Comma 5 2" xfId="324" xr:uid="{00000000-0005-0000-0000-00004C010000}"/>
    <cellStyle name="Comma 5 2 2" xfId="325" xr:uid="{00000000-0005-0000-0000-00004D010000}"/>
    <cellStyle name="Comma 5 2 3" xfId="326" xr:uid="{00000000-0005-0000-0000-00004E010000}"/>
    <cellStyle name="Comma 5 2 4" xfId="327" xr:uid="{00000000-0005-0000-0000-00004F010000}"/>
    <cellStyle name="Comma 5 3" xfId="328" xr:uid="{00000000-0005-0000-0000-000050010000}"/>
    <cellStyle name="Comma 5 4" xfId="329" xr:uid="{00000000-0005-0000-0000-000051010000}"/>
    <cellStyle name="Comma 5 5" xfId="330" xr:uid="{00000000-0005-0000-0000-000052010000}"/>
    <cellStyle name="Comma 50" xfId="331" xr:uid="{00000000-0005-0000-0000-000053010000}"/>
    <cellStyle name="Comma 50 2" xfId="332" xr:uid="{00000000-0005-0000-0000-000054010000}"/>
    <cellStyle name="Comma 51" xfId="333" xr:uid="{00000000-0005-0000-0000-000055010000}"/>
    <cellStyle name="Comma 51 2" xfId="334" xr:uid="{00000000-0005-0000-0000-000056010000}"/>
    <cellStyle name="Comma 52" xfId="335" xr:uid="{00000000-0005-0000-0000-000057010000}"/>
    <cellStyle name="Comma 52 2" xfId="336" xr:uid="{00000000-0005-0000-0000-000058010000}"/>
    <cellStyle name="Comma 53" xfId="337" xr:uid="{00000000-0005-0000-0000-000059010000}"/>
    <cellStyle name="Comma 54" xfId="338" xr:uid="{00000000-0005-0000-0000-00005A010000}"/>
    <cellStyle name="Comma 55" xfId="168" xr:uid="{00000000-0005-0000-0000-00005B010000}"/>
    <cellStyle name="Comma 56" xfId="1251" xr:uid="{00000000-0005-0000-0000-00005C010000}"/>
    <cellStyle name="Comma 57" xfId="1283" xr:uid="{00000000-0005-0000-0000-00000F050000}"/>
    <cellStyle name="Comma 6" xfId="339" xr:uid="{00000000-0005-0000-0000-00005D010000}"/>
    <cellStyle name="Comma 6 2" xfId="340" xr:uid="{00000000-0005-0000-0000-00005E010000}"/>
    <cellStyle name="Comma 6 2 2" xfId="341" xr:uid="{00000000-0005-0000-0000-00005F010000}"/>
    <cellStyle name="Comma 6 3" xfId="342" xr:uid="{00000000-0005-0000-0000-000060010000}"/>
    <cellStyle name="Comma 6 4" xfId="343" xr:uid="{00000000-0005-0000-0000-000061010000}"/>
    <cellStyle name="Comma 6 5" xfId="344" xr:uid="{00000000-0005-0000-0000-000062010000}"/>
    <cellStyle name="Comma 6 6" xfId="345" xr:uid="{00000000-0005-0000-0000-000063010000}"/>
    <cellStyle name="Comma 6 7" xfId="346" xr:uid="{00000000-0005-0000-0000-000064010000}"/>
    <cellStyle name="Comma 7" xfId="347" xr:uid="{00000000-0005-0000-0000-000065010000}"/>
    <cellStyle name="Comma 7 2" xfId="348" xr:uid="{00000000-0005-0000-0000-000066010000}"/>
    <cellStyle name="Comma 7 3" xfId="349" xr:uid="{00000000-0005-0000-0000-000067010000}"/>
    <cellStyle name="Comma 7 4" xfId="350" xr:uid="{00000000-0005-0000-0000-000068010000}"/>
    <cellStyle name="Comma 7 5" xfId="351" xr:uid="{00000000-0005-0000-0000-000069010000}"/>
    <cellStyle name="Comma 8" xfId="352" xr:uid="{00000000-0005-0000-0000-00006A010000}"/>
    <cellStyle name="Comma 8 2" xfId="353" xr:uid="{00000000-0005-0000-0000-00006B010000}"/>
    <cellStyle name="Comma 8 3" xfId="354" xr:uid="{00000000-0005-0000-0000-00006C010000}"/>
    <cellStyle name="Comma 8 4" xfId="355" xr:uid="{00000000-0005-0000-0000-00006D010000}"/>
    <cellStyle name="Comma 8 5" xfId="356" xr:uid="{00000000-0005-0000-0000-00006E010000}"/>
    <cellStyle name="Comma 9" xfId="357" xr:uid="{00000000-0005-0000-0000-00006F010000}"/>
    <cellStyle name="Comma 9 2" xfId="358" xr:uid="{00000000-0005-0000-0000-000070010000}"/>
    <cellStyle name="Comma 9 3" xfId="359" xr:uid="{00000000-0005-0000-0000-000071010000}"/>
    <cellStyle name="Comma 9 4" xfId="360" xr:uid="{00000000-0005-0000-0000-000072010000}"/>
    <cellStyle name="Comma 9 5" xfId="361" xr:uid="{00000000-0005-0000-0000-000073010000}"/>
    <cellStyle name="Comma0" xfId="362" xr:uid="{00000000-0005-0000-0000-000074010000}"/>
    <cellStyle name="Currency 2" xfId="363" xr:uid="{00000000-0005-0000-0000-000075010000}"/>
    <cellStyle name="Currency 2 2" xfId="364" xr:uid="{00000000-0005-0000-0000-000076010000}"/>
    <cellStyle name="Currency 3" xfId="365" xr:uid="{00000000-0005-0000-0000-000077010000}"/>
    <cellStyle name="Currency 4" xfId="366" xr:uid="{00000000-0005-0000-0000-000078010000}"/>
    <cellStyle name="Currency 4 2" xfId="367" xr:uid="{00000000-0005-0000-0000-000079010000}"/>
    <cellStyle name="Currency 5" xfId="368" xr:uid="{00000000-0005-0000-0000-00007A010000}"/>
    <cellStyle name="Currency0" xfId="369" xr:uid="{00000000-0005-0000-0000-00007B010000}"/>
    <cellStyle name="DATE" xfId="370" xr:uid="{00000000-0005-0000-0000-00007C010000}"/>
    <cellStyle name="Date 2" xfId="371" xr:uid="{00000000-0005-0000-0000-00007D010000}"/>
    <cellStyle name="Euro" xfId="372" xr:uid="{00000000-0005-0000-0000-00007E010000}"/>
    <cellStyle name="Euro 10" xfId="373" xr:uid="{00000000-0005-0000-0000-00007F010000}"/>
    <cellStyle name="Euro 10 2" xfId="374" xr:uid="{00000000-0005-0000-0000-000080010000}"/>
    <cellStyle name="Euro 11" xfId="375" xr:uid="{00000000-0005-0000-0000-000081010000}"/>
    <cellStyle name="Euro 2" xfId="376" xr:uid="{00000000-0005-0000-0000-000082010000}"/>
    <cellStyle name="Euro 2 2" xfId="377" xr:uid="{00000000-0005-0000-0000-000083010000}"/>
    <cellStyle name="Euro 2 3" xfId="378" xr:uid="{00000000-0005-0000-0000-000084010000}"/>
    <cellStyle name="Euro 3" xfId="379" xr:uid="{00000000-0005-0000-0000-000085010000}"/>
    <cellStyle name="Euro 3 2" xfId="380" xr:uid="{00000000-0005-0000-0000-000086010000}"/>
    <cellStyle name="Euro 3 3" xfId="381" xr:uid="{00000000-0005-0000-0000-000087010000}"/>
    <cellStyle name="Euro 4" xfId="382" xr:uid="{00000000-0005-0000-0000-000088010000}"/>
    <cellStyle name="Euro 4 2" xfId="383" xr:uid="{00000000-0005-0000-0000-000089010000}"/>
    <cellStyle name="Euro 5" xfId="384" xr:uid="{00000000-0005-0000-0000-00008A010000}"/>
    <cellStyle name="Euro 5 2" xfId="385" xr:uid="{00000000-0005-0000-0000-00008B010000}"/>
    <cellStyle name="Euro 6" xfId="386" xr:uid="{00000000-0005-0000-0000-00008C010000}"/>
    <cellStyle name="Euro 7" xfId="387" xr:uid="{00000000-0005-0000-0000-00008D010000}"/>
    <cellStyle name="Euro 8" xfId="388" xr:uid="{00000000-0005-0000-0000-00008E010000}"/>
    <cellStyle name="Euro 8 2" xfId="389" xr:uid="{00000000-0005-0000-0000-00008F010000}"/>
    <cellStyle name="Euro 8 3" xfId="390" xr:uid="{00000000-0005-0000-0000-000090010000}"/>
    <cellStyle name="Euro 9" xfId="391" xr:uid="{00000000-0005-0000-0000-000091010000}"/>
    <cellStyle name="Euro 9 2" xfId="392" xr:uid="{00000000-0005-0000-0000-000092010000}"/>
    <cellStyle name="Explanatory Text" xfId="24" builtinId="53" customBuiltin="1"/>
    <cellStyle name="Explanatory Text 2" xfId="393" xr:uid="{00000000-0005-0000-0000-000094010000}"/>
    <cellStyle name="Explanatory Text 2 2" xfId="394" xr:uid="{00000000-0005-0000-0000-000095010000}"/>
    <cellStyle name="Explanatory Text 3" xfId="395" xr:uid="{00000000-0005-0000-0000-000096010000}"/>
    <cellStyle name="Fixed" xfId="396" xr:uid="{00000000-0005-0000-0000-000097010000}"/>
    <cellStyle name="Good" xfId="17" builtinId="26" customBuiltin="1"/>
    <cellStyle name="Good 2" xfId="397" xr:uid="{00000000-0005-0000-0000-000099010000}"/>
    <cellStyle name="Good 2 2" xfId="398" xr:uid="{00000000-0005-0000-0000-00009A010000}"/>
    <cellStyle name="Good 3" xfId="399" xr:uid="{00000000-0005-0000-0000-00009B010000}"/>
    <cellStyle name="H1" xfId="400" xr:uid="{00000000-0005-0000-0000-00009C010000}"/>
    <cellStyle name="H2" xfId="401" xr:uid="{00000000-0005-0000-0000-00009D010000}"/>
    <cellStyle name="H3" xfId="402" xr:uid="{00000000-0005-0000-0000-00009E010000}"/>
    <cellStyle name="H4" xfId="403" xr:uid="{00000000-0005-0000-0000-00009F010000}"/>
    <cellStyle name="H4Bold" xfId="404" xr:uid="{00000000-0005-0000-0000-0000A0010000}"/>
    <cellStyle name="Header1" xfId="405" xr:uid="{00000000-0005-0000-0000-0000A1010000}"/>
    <cellStyle name="Header2" xfId="406" xr:uid="{00000000-0005-0000-0000-0000A2010000}"/>
    <cellStyle name="Heading 1" xfId="13" builtinId="16" customBuiltin="1"/>
    <cellStyle name="Heading 1 2" xfId="407" xr:uid="{00000000-0005-0000-0000-0000A4010000}"/>
    <cellStyle name="Heading 1 2 2" xfId="408" xr:uid="{00000000-0005-0000-0000-0000A5010000}"/>
    <cellStyle name="Heading 1 3" xfId="409" xr:uid="{00000000-0005-0000-0000-0000A6010000}"/>
    <cellStyle name="Heading 1 3 2" xfId="410" xr:uid="{00000000-0005-0000-0000-0000A7010000}"/>
    <cellStyle name="Heading 2" xfId="14" builtinId="17" customBuiltin="1"/>
    <cellStyle name="Heading 2 2" xfId="411" xr:uid="{00000000-0005-0000-0000-0000A9010000}"/>
    <cellStyle name="Heading 2 2 2" xfId="412" xr:uid="{00000000-0005-0000-0000-0000AA010000}"/>
    <cellStyle name="Heading 2 3" xfId="413" xr:uid="{00000000-0005-0000-0000-0000AB010000}"/>
    <cellStyle name="Heading 2 3 2" xfId="414" xr:uid="{00000000-0005-0000-0000-0000AC010000}"/>
    <cellStyle name="Heading 3" xfId="15" builtinId="18" customBuiltin="1"/>
    <cellStyle name="Heading 3 2" xfId="415" xr:uid="{00000000-0005-0000-0000-0000AE010000}"/>
    <cellStyle name="Heading 3 2 2" xfId="416" xr:uid="{00000000-0005-0000-0000-0000AF010000}"/>
    <cellStyle name="Heading 3 3" xfId="417" xr:uid="{00000000-0005-0000-0000-0000B0010000}"/>
    <cellStyle name="Heading 4" xfId="16" builtinId="19" customBuiltin="1"/>
    <cellStyle name="Heading 4 2" xfId="418" xr:uid="{00000000-0005-0000-0000-0000B2010000}"/>
    <cellStyle name="Heading 4 2 2" xfId="419" xr:uid="{00000000-0005-0000-0000-0000B3010000}"/>
    <cellStyle name="Heading 4 3" xfId="420" xr:uid="{00000000-0005-0000-0000-0000B4010000}"/>
    <cellStyle name="Hyperlink 2" xfId="421" xr:uid="{00000000-0005-0000-0000-0000B5010000}"/>
    <cellStyle name="Hyperlink 2 2" xfId="422" xr:uid="{00000000-0005-0000-0000-0000B6010000}"/>
    <cellStyle name="Hyperlink 2 3" xfId="423" xr:uid="{00000000-0005-0000-0000-0000B7010000}"/>
    <cellStyle name="Hyperlink 2 3 2" xfId="424" xr:uid="{00000000-0005-0000-0000-0000B8010000}"/>
    <cellStyle name="Hyperlink 2 3 3" xfId="425" xr:uid="{00000000-0005-0000-0000-0000B9010000}"/>
    <cellStyle name="Hyperlink 2 4" xfId="1276" xr:uid="{00000000-0005-0000-0000-0000BA010000}"/>
    <cellStyle name="Hyperlink 3" xfId="426" xr:uid="{00000000-0005-0000-0000-0000BB010000}"/>
    <cellStyle name="Hyperlink 4" xfId="427" xr:uid="{00000000-0005-0000-0000-0000BC010000}"/>
    <cellStyle name="Hyperlink 5" xfId="428" xr:uid="{00000000-0005-0000-0000-0000BD010000}"/>
    <cellStyle name="InfoDataColumn" xfId="429" xr:uid="{00000000-0005-0000-0000-0000BE010000}"/>
    <cellStyle name="InfoDataRow" xfId="430" xr:uid="{00000000-0005-0000-0000-0000BF010000}"/>
    <cellStyle name="InfoLabelColumn" xfId="431" xr:uid="{00000000-0005-0000-0000-0000C0010000}"/>
    <cellStyle name="InfoLabelRow" xfId="432" xr:uid="{00000000-0005-0000-0000-0000C1010000}"/>
    <cellStyle name="InfolDataColumn" xfId="433" xr:uid="{00000000-0005-0000-0000-0000C2010000}"/>
    <cellStyle name="input 10" xfId="1233" xr:uid="{00000000-0005-0000-0000-0000C3010000}"/>
    <cellStyle name="Input 2" xfId="435" xr:uid="{00000000-0005-0000-0000-0000C4010000}"/>
    <cellStyle name="input 2 10" xfId="436" xr:uid="{00000000-0005-0000-0000-0000C5010000}"/>
    <cellStyle name="Input 2 10 2" xfId="437" xr:uid="{00000000-0005-0000-0000-0000C6010000}"/>
    <cellStyle name="Input 2 10 2 2" xfId="438" xr:uid="{00000000-0005-0000-0000-0000C7010000}"/>
    <cellStyle name="input 2 10 2 3" xfId="439" xr:uid="{00000000-0005-0000-0000-0000C8010000}"/>
    <cellStyle name="Input 2 10 3" xfId="440" xr:uid="{00000000-0005-0000-0000-0000C9010000}"/>
    <cellStyle name="Input 2 10 4" xfId="441" xr:uid="{00000000-0005-0000-0000-0000CA010000}"/>
    <cellStyle name="Input 2 10 5" xfId="442" xr:uid="{00000000-0005-0000-0000-0000CB010000}"/>
    <cellStyle name="Input 2 11" xfId="443" xr:uid="{00000000-0005-0000-0000-0000CC010000}"/>
    <cellStyle name="Input 2 12" xfId="444" xr:uid="{00000000-0005-0000-0000-0000CD010000}"/>
    <cellStyle name="Input 2 2" xfId="445" xr:uid="{00000000-0005-0000-0000-0000CE010000}"/>
    <cellStyle name="Input 2 2 2" xfId="446" xr:uid="{00000000-0005-0000-0000-0000CF010000}"/>
    <cellStyle name="Input 2 3" xfId="447" xr:uid="{00000000-0005-0000-0000-0000D0010000}"/>
    <cellStyle name="input 2 3 2" xfId="448" xr:uid="{00000000-0005-0000-0000-0000D1010000}"/>
    <cellStyle name="input 2 4" xfId="449" xr:uid="{00000000-0005-0000-0000-0000D2010000}"/>
    <cellStyle name="input 2 4 2" xfId="450" xr:uid="{00000000-0005-0000-0000-0000D3010000}"/>
    <cellStyle name="input 2 5" xfId="451" xr:uid="{00000000-0005-0000-0000-0000D4010000}"/>
    <cellStyle name="input 2 6" xfId="452" xr:uid="{00000000-0005-0000-0000-0000D5010000}"/>
    <cellStyle name="input 2 7" xfId="453" xr:uid="{00000000-0005-0000-0000-0000D6010000}"/>
    <cellStyle name="input 2 8" xfId="454" xr:uid="{00000000-0005-0000-0000-0000D7010000}"/>
    <cellStyle name="input 2 9" xfId="455" xr:uid="{00000000-0005-0000-0000-0000D8010000}"/>
    <cellStyle name="Input 3" xfId="456" xr:uid="{00000000-0005-0000-0000-0000D9010000}"/>
    <cellStyle name="input 3 2" xfId="457" xr:uid="{00000000-0005-0000-0000-0000DA010000}"/>
    <cellStyle name="input 4" xfId="458" xr:uid="{00000000-0005-0000-0000-0000DB010000}"/>
    <cellStyle name="input 5" xfId="459" xr:uid="{00000000-0005-0000-0000-0000DC010000}"/>
    <cellStyle name="input 6" xfId="460" xr:uid="{00000000-0005-0000-0000-0000DD010000}"/>
    <cellStyle name="input 7" xfId="461" xr:uid="{00000000-0005-0000-0000-0000DE010000}"/>
    <cellStyle name="input 8" xfId="462" xr:uid="{00000000-0005-0000-0000-0000DF010000}"/>
    <cellStyle name="input 9" xfId="434" xr:uid="{00000000-0005-0000-0000-0000E0010000}"/>
    <cellStyle name="Input Cells" xfId="463" xr:uid="{00000000-0005-0000-0000-0000E1010000}"/>
    <cellStyle name="InputA" xfId="464" xr:uid="{00000000-0005-0000-0000-0000E2010000}"/>
    <cellStyle name="InputDataColumn" xfId="465" xr:uid="{00000000-0005-0000-0000-0000E3010000}"/>
    <cellStyle name="InputDataRow" xfId="466" xr:uid="{00000000-0005-0000-0000-0000E4010000}"/>
    <cellStyle name="InputLabelColumn" xfId="467" xr:uid="{00000000-0005-0000-0000-0000E5010000}"/>
    <cellStyle name="InputLabelRow" xfId="468" xr:uid="{00000000-0005-0000-0000-0000E6010000}"/>
    <cellStyle name="IntermediateDataColumn" xfId="469" xr:uid="{00000000-0005-0000-0000-0000E7010000}"/>
    <cellStyle name="IntermediateLabelColumn" xfId="470" xr:uid="{00000000-0005-0000-0000-0000E8010000}"/>
    <cellStyle name="InvalidCell" xfId="471" xr:uid="{00000000-0005-0000-0000-0000E9010000}"/>
    <cellStyle name="Linked Cell" xfId="21" builtinId="24" customBuiltin="1"/>
    <cellStyle name="Linked Cell 2" xfId="472" xr:uid="{00000000-0005-0000-0000-0000EB010000}"/>
    <cellStyle name="Linked Cell 2 2" xfId="473" xr:uid="{00000000-0005-0000-0000-0000EC010000}"/>
    <cellStyle name="Linked Cell 3" xfId="474" xr:uid="{00000000-0005-0000-0000-0000ED010000}"/>
    <cellStyle name="Milliers [0]_Open&amp;Close" xfId="475" xr:uid="{00000000-0005-0000-0000-0000EE010000}"/>
    <cellStyle name="Milliers_Open&amp;Close" xfId="476" xr:uid="{00000000-0005-0000-0000-0000EF010000}"/>
    <cellStyle name="Monétaire [0]_Open&amp;Close" xfId="477" xr:uid="{00000000-0005-0000-0000-0000F0010000}"/>
    <cellStyle name="Monétaire_Open&amp;Close" xfId="478" xr:uid="{00000000-0005-0000-0000-0000F1010000}"/>
    <cellStyle name="Neutral 2" xfId="480" xr:uid="{00000000-0005-0000-0000-0000F2010000}"/>
    <cellStyle name="Neutral 2 2" xfId="481" xr:uid="{00000000-0005-0000-0000-0000F3010000}"/>
    <cellStyle name="Neutral 3" xfId="482" xr:uid="{00000000-0005-0000-0000-0000F4010000}"/>
    <cellStyle name="Neutral 4" xfId="479" xr:uid="{00000000-0005-0000-0000-0000F5010000}"/>
    <cellStyle name="NewSheet" xfId="483" xr:uid="{00000000-0005-0000-0000-0000F6010000}"/>
    <cellStyle name="noninput" xfId="484" xr:uid="{00000000-0005-0000-0000-0000F7010000}"/>
    <cellStyle name="noninput 2" xfId="485" xr:uid="{00000000-0005-0000-0000-0000F8010000}"/>
    <cellStyle name="noninput 3" xfId="486" xr:uid="{00000000-0005-0000-0000-0000F9010000}"/>
    <cellStyle name="noninput 4" xfId="487" xr:uid="{00000000-0005-0000-0000-0000FA010000}"/>
    <cellStyle name="noninput 5" xfId="488" xr:uid="{00000000-0005-0000-0000-0000FB010000}"/>
    <cellStyle name="noninput 6" xfId="489" xr:uid="{00000000-0005-0000-0000-0000FC010000}"/>
    <cellStyle name="Normal" xfId="0" builtinId="0"/>
    <cellStyle name="Normal - Style1" xfId="490" xr:uid="{00000000-0005-0000-0000-0000FE010000}"/>
    <cellStyle name="Normal 10" xfId="491" xr:uid="{00000000-0005-0000-0000-0000FF010000}"/>
    <cellStyle name="Normal 10 2" xfId="492" xr:uid="{00000000-0005-0000-0000-000000020000}"/>
    <cellStyle name="Normal 10 2 2" xfId="493" xr:uid="{00000000-0005-0000-0000-000001020000}"/>
    <cellStyle name="Normal 100" xfId="494" xr:uid="{00000000-0005-0000-0000-000002020000}"/>
    <cellStyle name="Normal 100 2" xfId="495" xr:uid="{00000000-0005-0000-0000-000003020000}"/>
    <cellStyle name="Normal 100 2 2" xfId="496" xr:uid="{00000000-0005-0000-0000-000004020000}"/>
    <cellStyle name="Normal 100 2 3" xfId="497" xr:uid="{00000000-0005-0000-0000-000005020000}"/>
    <cellStyle name="Normal 100 3" xfId="498" xr:uid="{00000000-0005-0000-0000-000006020000}"/>
    <cellStyle name="Normal 101" xfId="499" xr:uid="{00000000-0005-0000-0000-000007020000}"/>
    <cellStyle name="Normal 101 2" xfId="500" xr:uid="{00000000-0005-0000-0000-000008020000}"/>
    <cellStyle name="Normal 101 2 2" xfId="501" xr:uid="{00000000-0005-0000-0000-000009020000}"/>
    <cellStyle name="Normal 101 2 3" xfId="502" xr:uid="{00000000-0005-0000-0000-00000A020000}"/>
    <cellStyle name="Normal 101 3" xfId="503" xr:uid="{00000000-0005-0000-0000-00000B020000}"/>
    <cellStyle name="Normal 102" xfId="504" xr:uid="{00000000-0005-0000-0000-00000C020000}"/>
    <cellStyle name="Normal 102 2" xfId="505" xr:uid="{00000000-0005-0000-0000-00000D020000}"/>
    <cellStyle name="Normal 102 2 2" xfId="506" xr:uid="{00000000-0005-0000-0000-00000E020000}"/>
    <cellStyle name="Normal 102 2 3" xfId="507" xr:uid="{00000000-0005-0000-0000-00000F020000}"/>
    <cellStyle name="Normal 103" xfId="508" xr:uid="{00000000-0005-0000-0000-000010020000}"/>
    <cellStyle name="Normal 104" xfId="509" xr:uid="{00000000-0005-0000-0000-000011020000}"/>
    <cellStyle name="Normal 105" xfId="510" xr:uid="{00000000-0005-0000-0000-000012020000}"/>
    <cellStyle name="Normal 106" xfId="511" xr:uid="{00000000-0005-0000-0000-000013020000}"/>
    <cellStyle name="Normal 107" xfId="512" xr:uid="{00000000-0005-0000-0000-000014020000}"/>
    <cellStyle name="Normal 107 2" xfId="513" xr:uid="{00000000-0005-0000-0000-000015020000}"/>
    <cellStyle name="Normal 108" xfId="514" xr:uid="{00000000-0005-0000-0000-000016020000}"/>
    <cellStyle name="Normal 109" xfId="515" xr:uid="{00000000-0005-0000-0000-000017020000}"/>
    <cellStyle name="Normal 11" xfId="516" xr:uid="{00000000-0005-0000-0000-000018020000}"/>
    <cellStyle name="Normal 110" xfId="517" xr:uid="{00000000-0005-0000-0000-000019020000}"/>
    <cellStyle name="Normal 110 2" xfId="518" xr:uid="{00000000-0005-0000-0000-00001A020000}"/>
    <cellStyle name="Normal 110 3" xfId="519" xr:uid="{00000000-0005-0000-0000-00001B020000}"/>
    <cellStyle name="Normal 110 4" xfId="520" xr:uid="{00000000-0005-0000-0000-00001C020000}"/>
    <cellStyle name="Normal 110 5" xfId="521" xr:uid="{00000000-0005-0000-0000-00001D020000}"/>
    <cellStyle name="Normal 111" xfId="522" xr:uid="{00000000-0005-0000-0000-00001E020000}"/>
    <cellStyle name="Normal 111 2" xfId="523" xr:uid="{00000000-0005-0000-0000-00001F020000}"/>
    <cellStyle name="Normal 111 3" xfId="524" xr:uid="{00000000-0005-0000-0000-000020020000}"/>
    <cellStyle name="Normal 112" xfId="525" xr:uid="{00000000-0005-0000-0000-000021020000}"/>
    <cellStyle name="Normal 112 2" xfId="526" xr:uid="{00000000-0005-0000-0000-000022020000}"/>
    <cellStyle name="Normal 112 3" xfId="527" xr:uid="{00000000-0005-0000-0000-000023020000}"/>
    <cellStyle name="Normal 113" xfId="528" xr:uid="{00000000-0005-0000-0000-000024020000}"/>
    <cellStyle name="Normal 113 2" xfId="529" xr:uid="{00000000-0005-0000-0000-000025020000}"/>
    <cellStyle name="Normal 113 3" xfId="530" xr:uid="{00000000-0005-0000-0000-000026020000}"/>
    <cellStyle name="Normal 114" xfId="531" xr:uid="{00000000-0005-0000-0000-000027020000}"/>
    <cellStyle name="Normal 115" xfId="532" xr:uid="{00000000-0005-0000-0000-000028020000}"/>
    <cellStyle name="Normal 115 2" xfId="533" xr:uid="{00000000-0005-0000-0000-000029020000}"/>
    <cellStyle name="Normal 115 3" xfId="534" xr:uid="{00000000-0005-0000-0000-00002A020000}"/>
    <cellStyle name="Normal 116" xfId="535" xr:uid="{00000000-0005-0000-0000-00002B020000}"/>
    <cellStyle name="Normal 117" xfId="536" xr:uid="{00000000-0005-0000-0000-00002C020000}"/>
    <cellStyle name="Normal 117 2" xfId="537" xr:uid="{00000000-0005-0000-0000-00002D020000}"/>
    <cellStyle name="Normal 117 3" xfId="538" xr:uid="{00000000-0005-0000-0000-00002E020000}"/>
    <cellStyle name="Normal 118" xfId="539" xr:uid="{00000000-0005-0000-0000-00002F020000}"/>
    <cellStyle name="Normal 119" xfId="540" xr:uid="{00000000-0005-0000-0000-000030020000}"/>
    <cellStyle name="Normal 119 2" xfId="541" xr:uid="{00000000-0005-0000-0000-000031020000}"/>
    <cellStyle name="Normal 119 3" xfId="542" xr:uid="{00000000-0005-0000-0000-000032020000}"/>
    <cellStyle name="Normal 119 4" xfId="543" xr:uid="{00000000-0005-0000-0000-000033020000}"/>
    <cellStyle name="Normal 12" xfId="544" xr:uid="{00000000-0005-0000-0000-000034020000}"/>
    <cellStyle name="Normal 120" xfId="545" xr:uid="{00000000-0005-0000-0000-000035020000}"/>
    <cellStyle name="Normal 121" xfId="546" xr:uid="{00000000-0005-0000-0000-000036020000}"/>
    <cellStyle name="Normal 121 2" xfId="547" xr:uid="{00000000-0005-0000-0000-000037020000}"/>
    <cellStyle name="Normal 121 3" xfId="548" xr:uid="{00000000-0005-0000-0000-000038020000}"/>
    <cellStyle name="Normal 122" xfId="549" xr:uid="{00000000-0005-0000-0000-000039020000}"/>
    <cellStyle name="Normal 122 2" xfId="550" xr:uid="{00000000-0005-0000-0000-00003A020000}"/>
    <cellStyle name="Normal 122 3" xfId="551" xr:uid="{00000000-0005-0000-0000-00003B020000}"/>
    <cellStyle name="Normal 122 4" xfId="552" xr:uid="{00000000-0005-0000-0000-00003C020000}"/>
    <cellStyle name="Normal 123" xfId="553" xr:uid="{00000000-0005-0000-0000-00003D020000}"/>
    <cellStyle name="Normal 123 2" xfId="554" xr:uid="{00000000-0005-0000-0000-00003E020000}"/>
    <cellStyle name="Normal 123 3" xfId="555" xr:uid="{00000000-0005-0000-0000-00003F020000}"/>
    <cellStyle name="Normal 123 4" xfId="1252" xr:uid="{00000000-0005-0000-0000-000040020000}"/>
    <cellStyle name="Normal 124" xfId="556" xr:uid="{00000000-0005-0000-0000-000041020000}"/>
    <cellStyle name="Normal 124 2" xfId="557" xr:uid="{00000000-0005-0000-0000-000042020000}"/>
    <cellStyle name="Normal 124 3" xfId="558" xr:uid="{00000000-0005-0000-0000-000043020000}"/>
    <cellStyle name="Normal 125" xfId="559" xr:uid="{00000000-0005-0000-0000-000044020000}"/>
    <cellStyle name="Normal 125 2" xfId="560" xr:uid="{00000000-0005-0000-0000-000045020000}"/>
    <cellStyle name="Normal 125 3" xfId="561" xr:uid="{00000000-0005-0000-0000-000046020000}"/>
    <cellStyle name="Normal 126" xfId="562" xr:uid="{00000000-0005-0000-0000-000047020000}"/>
    <cellStyle name="Normal 126 2" xfId="563" xr:uid="{00000000-0005-0000-0000-000048020000}"/>
    <cellStyle name="Normal 126 3" xfId="564" xr:uid="{00000000-0005-0000-0000-000049020000}"/>
    <cellStyle name="Normal 127" xfId="565" xr:uid="{00000000-0005-0000-0000-00004A020000}"/>
    <cellStyle name="Normal 127 2" xfId="566" xr:uid="{00000000-0005-0000-0000-00004B020000}"/>
    <cellStyle name="Normal 127 3" xfId="567" xr:uid="{00000000-0005-0000-0000-00004C020000}"/>
    <cellStyle name="Normal 128" xfId="568" xr:uid="{00000000-0005-0000-0000-00004D020000}"/>
    <cellStyle name="Normal 128 2" xfId="569" xr:uid="{00000000-0005-0000-0000-00004E020000}"/>
    <cellStyle name="Normal 128 3" xfId="570" xr:uid="{00000000-0005-0000-0000-00004F020000}"/>
    <cellStyle name="Normal 129" xfId="571" xr:uid="{00000000-0005-0000-0000-000050020000}"/>
    <cellStyle name="Normal 129 2" xfId="572" xr:uid="{00000000-0005-0000-0000-000051020000}"/>
    <cellStyle name="Normal 129 3" xfId="573" xr:uid="{00000000-0005-0000-0000-000052020000}"/>
    <cellStyle name="Normal 13" xfId="574" xr:uid="{00000000-0005-0000-0000-000053020000}"/>
    <cellStyle name="Normal 130" xfId="575" xr:uid="{00000000-0005-0000-0000-000054020000}"/>
    <cellStyle name="Normal 130 2" xfId="576" xr:uid="{00000000-0005-0000-0000-000055020000}"/>
    <cellStyle name="Normal 130 3" xfId="577" xr:uid="{00000000-0005-0000-0000-000056020000}"/>
    <cellStyle name="Normal 131" xfId="578" xr:uid="{00000000-0005-0000-0000-000057020000}"/>
    <cellStyle name="Normal 131 2" xfId="579" xr:uid="{00000000-0005-0000-0000-000058020000}"/>
    <cellStyle name="Normal 131 3" xfId="580" xr:uid="{00000000-0005-0000-0000-000059020000}"/>
    <cellStyle name="Normal 132" xfId="581" xr:uid="{00000000-0005-0000-0000-00005A020000}"/>
    <cellStyle name="Normal 132 2" xfId="582" xr:uid="{00000000-0005-0000-0000-00005B020000}"/>
    <cellStyle name="Normal 132 3" xfId="583" xr:uid="{00000000-0005-0000-0000-00005C020000}"/>
    <cellStyle name="Normal 133" xfId="584" xr:uid="{00000000-0005-0000-0000-00005D020000}"/>
    <cellStyle name="Normal 133 2" xfId="585" xr:uid="{00000000-0005-0000-0000-00005E020000}"/>
    <cellStyle name="Normal 133 3" xfId="586" xr:uid="{00000000-0005-0000-0000-00005F020000}"/>
    <cellStyle name="Normal 134" xfId="587" xr:uid="{00000000-0005-0000-0000-000060020000}"/>
    <cellStyle name="Normal 134 2" xfId="588" xr:uid="{00000000-0005-0000-0000-000061020000}"/>
    <cellStyle name="Normal 134 3" xfId="589" xr:uid="{00000000-0005-0000-0000-000062020000}"/>
    <cellStyle name="Normal 135" xfId="590" xr:uid="{00000000-0005-0000-0000-000063020000}"/>
    <cellStyle name="Normal 135 2" xfId="591" xr:uid="{00000000-0005-0000-0000-000064020000}"/>
    <cellStyle name="Normal 135 3" xfId="592" xr:uid="{00000000-0005-0000-0000-000065020000}"/>
    <cellStyle name="Normal 136" xfId="593" xr:uid="{00000000-0005-0000-0000-000066020000}"/>
    <cellStyle name="Normal 136 2" xfId="594" xr:uid="{00000000-0005-0000-0000-000067020000}"/>
    <cellStyle name="Normal 136 3" xfId="595" xr:uid="{00000000-0005-0000-0000-000068020000}"/>
    <cellStyle name="Normal 137" xfId="596" xr:uid="{00000000-0005-0000-0000-000069020000}"/>
    <cellStyle name="Normal 137 2" xfId="597" xr:uid="{00000000-0005-0000-0000-00006A020000}"/>
    <cellStyle name="Normal 137 3" xfId="598" xr:uid="{00000000-0005-0000-0000-00006B020000}"/>
    <cellStyle name="Normal 138" xfId="599" xr:uid="{00000000-0005-0000-0000-00006C020000}"/>
    <cellStyle name="Normal 138 2" xfId="600" xr:uid="{00000000-0005-0000-0000-00006D020000}"/>
    <cellStyle name="Normal 138 3" xfId="601" xr:uid="{00000000-0005-0000-0000-00006E020000}"/>
    <cellStyle name="Normal 139" xfId="602" xr:uid="{00000000-0005-0000-0000-00006F020000}"/>
    <cellStyle name="Normal 139 2" xfId="603" xr:uid="{00000000-0005-0000-0000-000070020000}"/>
    <cellStyle name="Normal 139 3" xfId="604" xr:uid="{00000000-0005-0000-0000-000071020000}"/>
    <cellStyle name="Normal 139 4" xfId="605" xr:uid="{00000000-0005-0000-0000-000072020000}"/>
    <cellStyle name="Normal 14" xfId="606" xr:uid="{00000000-0005-0000-0000-000073020000}"/>
    <cellStyle name="Normal 140" xfId="607" xr:uid="{00000000-0005-0000-0000-000074020000}"/>
    <cellStyle name="Normal 140 2" xfId="608" xr:uid="{00000000-0005-0000-0000-000075020000}"/>
    <cellStyle name="Normal 140 3" xfId="609" xr:uid="{00000000-0005-0000-0000-000076020000}"/>
    <cellStyle name="Normal 140 4" xfId="610" xr:uid="{00000000-0005-0000-0000-000077020000}"/>
    <cellStyle name="Normal 140 5" xfId="611" xr:uid="{00000000-0005-0000-0000-000078020000}"/>
    <cellStyle name="Normal 141" xfId="612" xr:uid="{00000000-0005-0000-0000-000079020000}"/>
    <cellStyle name="Normal 141 2" xfId="613" xr:uid="{00000000-0005-0000-0000-00007A020000}"/>
    <cellStyle name="Normal 141 3" xfId="614" xr:uid="{00000000-0005-0000-0000-00007B020000}"/>
    <cellStyle name="Normal 142" xfId="615" xr:uid="{00000000-0005-0000-0000-00007C020000}"/>
    <cellStyle name="Normal 142 2" xfId="616" xr:uid="{00000000-0005-0000-0000-00007D020000}"/>
    <cellStyle name="Normal 142 3" xfId="617" xr:uid="{00000000-0005-0000-0000-00007E020000}"/>
    <cellStyle name="Normal 143" xfId="618" xr:uid="{00000000-0005-0000-0000-00007F020000}"/>
    <cellStyle name="Normal 143 2" xfId="619" xr:uid="{00000000-0005-0000-0000-000080020000}"/>
    <cellStyle name="Normal 143 3" xfId="620" xr:uid="{00000000-0005-0000-0000-000081020000}"/>
    <cellStyle name="Normal 144" xfId="621" xr:uid="{00000000-0005-0000-0000-000082020000}"/>
    <cellStyle name="Normal 144 2" xfId="622" xr:uid="{00000000-0005-0000-0000-000083020000}"/>
    <cellStyle name="Normal 144 3" xfId="623" xr:uid="{00000000-0005-0000-0000-000084020000}"/>
    <cellStyle name="Normal 145" xfId="624" xr:uid="{00000000-0005-0000-0000-000085020000}"/>
    <cellStyle name="Normal 145 2" xfId="625" xr:uid="{00000000-0005-0000-0000-000086020000}"/>
    <cellStyle name="Normal 145 3" xfId="626" xr:uid="{00000000-0005-0000-0000-000087020000}"/>
    <cellStyle name="Normal 146" xfId="627" xr:uid="{00000000-0005-0000-0000-000088020000}"/>
    <cellStyle name="Normal 146 2" xfId="628" xr:uid="{00000000-0005-0000-0000-000089020000}"/>
    <cellStyle name="Normal 146 3" xfId="629" xr:uid="{00000000-0005-0000-0000-00008A020000}"/>
    <cellStyle name="Normal 147" xfId="630" xr:uid="{00000000-0005-0000-0000-00008B020000}"/>
    <cellStyle name="Normal 148" xfId="631" xr:uid="{00000000-0005-0000-0000-00008C020000}"/>
    <cellStyle name="Normal 149" xfId="632" xr:uid="{00000000-0005-0000-0000-00008D020000}"/>
    <cellStyle name="Normal 149 2" xfId="633" xr:uid="{00000000-0005-0000-0000-00008E020000}"/>
    <cellStyle name="Normal 149 3" xfId="634" xr:uid="{00000000-0005-0000-0000-00008F020000}"/>
    <cellStyle name="Normal 15" xfId="635" xr:uid="{00000000-0005-0000-0000-000090020000}"/>
    <cellStyle name="Normal 150" xfId="636" xr:uid="{00000000-0005-0000-0000-000091020000}"/>
    <cellStyle name="Normal 150 2" xfId="637" xr:uid="{00000000-0005-0000-0000-000092020000}"/>
    <cellStyle name="Normal 150 3" xfId="638" xr:uid="{00000000-0005-0000-0000-000093020000}"/>
    <cellStyle name="Normal 151" xfId="639" xr:uid="{00000000-0005-0000-0000-000094020000}"/>
    <cellStyle name="Normal 151 2" xfId="640" xr:uid="{00000000-0005-0000-0000-000095020000}"/>
    <cellStyle name="Normal 151 3" xfId="641" xr:uid="{00000000-0005-0000-0000-000096020000}"/>
    <cellStyle name="Normal 152" xfId="642" xr:uid="{00000000-0005-0000-0000-000097020000}"/>
    <cellStyle name="Normal 152 2" xfId="643" xr:uid="{00000000-0005-0000-0000-000098020000}"/>
    <cellStyle name="Normal 152 3" xfId="644" xr:uid="{00000000-0005-0000-0000-000099020000}"/>
    <cellStyle name="Normal 153" xfId="645" xr:uid="{00000000-0005-0000-0000-00009A020000}"/>
    <cellStyle name="Normal 153 2" xfId="646" xr:uid="{00000000-0005-0000-0000-00009B020000}"/>
    <cellStyle name="Normal 153 3" xfId="647" xr:uid="{00000000-0005-0000-0000-00009C020000}"/>
    <cellStyle name="Normal 154" xfId="648" xr:uid="{00000000-0005-0000-0000-00009D020000}"/>
    <cellStyle name="Normal 154 2" xfId="649" xr:uid="{00000000-0005-0000-0000-00009E020000}"/>
    <cellStyle name="Normal 154 3" xfId="650" xr:uid="{00000000-0005-0000-0000-00009F020000}"/>
    <cellStyle name="Normal 155" xfId="651" xr:uid="{00000000-0005-0000-0000-0000A0020000}"/>
    <cellStyle name="Normal 156" xfId="652" xr:uid="{00000000-0005-0000-0000-0000A1020000}"/>
    <cellStyle name="Normal 157" xfId="653" xr:uid="{00000000-0005-0000-0000-0000A2020000}"/>
    <cellStyle name="Normal 158" xfId="654" xr:uid="{00000000-0005-0000-0000-0000A3020000}"/>
    <cellStyle name="Normal 159" xfId="655" xr:uid="{00000000-0005-0000-0000-0000A4020000}"/>
    <cellStyle name="Normal 16" xfId="656" xr:uid="{00000000-0005-0000-0000-0000A5020000}"/>
    <cellStyle name="Normal 160" xfId="657" xr:uid="{00000000-0005-0000-0000-0000A6020000}"/>
    <cellStyle name="Normal 161" xfId="658" xr:uid="{00000000-0005-0000-0000-0000A7020000}"/>
    <cellStyle name="Normal 162" xfId="659" xr:uid="{00000000-0005-0000-0000-0000A8020000}"/>
    <cellStyle name="Normal 163" xfId="660" xr:uid="{00000000-0005-0000-0000-0000A9020000}"/>
    <cellStyle name="Normal 164" xfId="661" xr:uid="{00000000-0005-0000-0000-0000AA020000}"/>
    <cellStyle name="Normal 165" xfId="662" xr:uid="{00000000-0005-0000-0000-0000AB020000}"/>
    <cellStyle name="Normal 166" xfId="663" xr:uid="{00000000-0005-0000-0000-0000AC020000}"/>
    <cellStyle name="Normal 167" xfId="664" xr:uid="{00000000-0005-0000-0000-0000AD020000}"/>
    <cellStyle name="Normal 168" xfId="665" xr:uid="{00000000-0005-0000-0000-0000AE020000}"/>
    <cellStyle name="Normal 169" xfId="666" xr:uid="{00000000-0005-0000-0000-0000AF020000}"/>
    <cellStyle name="Normal 17" xfId="6" xr:uid="{00000000-0005-0000-0000-0000B0020000}"/>
    <cellStyle name="Normal 170" xfId="667" xr:uid="{00000000-0005-0000-0000-0000B1020000}"/>
    <cellStyle name="Normal 171" xfId="668" xr:uid="{00000000-0005-0000-0000-0000B2020000}"/>
    <cellStyle name="Normal 172" xfId="669" xr:uid="{00000000-0005-0000-0000-0000B3020000}"/>
    <cellStyle name="Normal 173" xfId="670" xr:uid="{00000000-0005-0000-0000-0000B4020000}"/>
    <cellStyle name="Normal 174" xfId="671" xr:uid="{00000000-0005-0000-0000-0000B5020000}"/>
    <cellStyle name="Normal 175" xfId="672" xr:uid="{00000000-0005-0000-0000-0000B6020000}"/>
    <cellStyle name="Normal 176" xfId="673" xr:uid="{00000000-0005-0000-0000-0000B7020000}"/>
    <cellStyle name="Normal 177" xfId="674" xr:uid="{00000000-0005-0000-0000-0000B8020000}"/>
    <cellStyle name="Normal 178" xfId="675" xr:uid="{00000000-0005-0000-0000-0000B9020000}"/>
    <cellStyle name="Normal 179" xfId="676" xr:uid="{00000000-0005-0000-0000-0000BA020000}"/>
    <cellStyle name="Normal 18" xfId="677" xr:uid="{00000000-0005-0000-0000-0000BB020000}"/>
    <cellStyle name="Normal 180" xfId="678" xr:uid="{00000000-0005-0000-0000-0000BC020000}"/>
    <cellStyle name="Normal 181" xfId="679" xr:uid="{00000000-0005-0000-0000-0000BD020000}"/>
    <cellStyle name="Normal 181 2" xfId="680" xr:uid="{00000000-0005-0000-0000-0000BE020000}"/>
    <cellStyle name="Normal 181 3" xfId="681" xr:uid="{00000000-0005-0000-0000-0000BF020000}"/>
    <cellStyle name="Normal 182" xfId="682" xr:uid="{00000000-0005-0000-0000-0000C0020000}"/>
    <cellStyle name="Normal 182 2" xfId="683" xr:uid="{00000000-0005-0000-0000-0000C1020000}"/>
    <cellStyle name="Normal 182 3" xfId="684" xr:uid="{00000000-0005-0000-0000-0000C2020000}"/>
    <cellStyle name="Normal 183" xfId="685" xr:uid="{00000000-0005-0000-0000-0000C3020000}"/>
    <cellStyle name="Normal 183 2" xfId="686" xr:uid="{00000000-0005-0000-0000-0000C4020000}"/>
    <cellStyle name="Normal 183 3" xfId="687" xr:uid="{00000000-0005-0000-0000-0000C5020000}"/>
    <cellStyle name="Normal 184" xfId="688" xr:uid="{00000000-0005-0000-0000-0000C6020000}"/>
    <cellStyle name="Normal 185" xfId="689" xr:uid="{00000000-0005-0000-0000-0000C7020000}"/>
    <cellStyle name="Normal 186" xfId="690" xr:uid="{00000000-0005-0000-0000-0000C8020000}"/>
    <cellStyle name="Normal 187" xfId="691" xr:uid="{00000000-0005-0000-0000-0000C9020000}"/>
    <cellStyle name="Normal 188" xfId="692" xr:uid="{00000000-0005-0000-0000-0000CA020000}"/>
    <cellStyle name="Normal 189" xfId="693" xr:uid="{00000000-0005-0000-0000-0000CB020000}"/>
    <cellStyle name="Normal 19" xfId="694" xr:uid="{00000000-0005-0000-0000-0000CC020000}"/>
    <cellStyle name="Normal 19 2" xfId="695" xr:uid="{00000000-0005-0000-0000-0000CD020000}"/>
    <cellStyle name="Normal 19 3" xfId="696" xr:uid="{00000000-0005-0000-0000-0000CE020000}"/>
    <cellStyle name="Normal 190" xfId="697" xr:uid="{00000000-0005-0000-0000-0000CF020000}"/>
    <cellStyle name="Normal 191" xfId="698" xr:uid="{00000000-0005-0000-0000-0000D0020000}"/>
    <cellStyle name="Normal 192" xfId="699" xr:uid="{00000000-0005-0000-0000-0000D1020000}"/>
    <cellStyle name="Normal 193" xfId="700" xr:uid="{00000000-0005-0000-0000-0000D2020000}"/>
    <cellStyle name="Normal 194" xfId="701" xr:uid="{00000000-0005-0000-0000-0000D3020000}"/>
    <cellStyle name="Normal 195" xfId="702" xr:uid="{00000000-0005-0000-0000-0000D4020000}"/>
    <cellStyle name="Normal 196" xfId="703" xr:uid="{00000000-0005-0000-0000-0000D5020000}"/>
    <cellStyle name="Normal 196 2" xfId="704" xr:uid="{00000000-0005-0000-0000-0000D6020000}"/>
    <cellStyle name="Normal 197" xfId="705" xr:uid="{00000000-0005-0000-0000-0000D7020000}"/>
    <cellStyle name="Normal 198" xfId="706" xr:uid="{00000000-0005-0000-0000-0000D8020000}"/>
    <cellStyle name="Normal 199" xfId="707" xr:uid="{00000000-0005-0000-0000-0000D9020000}"/>
    <cellStyle name="Normal 2" xfId="708" xr:uid="{00000000-0005-0000-0000-0000DA020000}"/>
    <cellStyle name="Normal 2 2" xfId="709" xr:uid="{00000000-0005-0000-0000-0000DB020000}"/>
    <cellStyle name="Normal 2 2 2" xfId="710" xr:uid="{00000000-0005-0000-0000-0000DC020000}"/>
    <cellStyle name="Normal 2 2 2 2" xfId="711" xr:uid="{00000000-0005-0000-0000-0000DD020000}"/>
    <cellStyle name="Normal 2 2 3" xfId="712" xr:uid="{00000000-0005-0000-0000-0000DE020000}"/>
    <cellStyle name="Normal 2 2 4" xfId="713" xr:uid="{00000000-0005-0000-0000-0000DF020000}"/>
    <cellStyle name="Normal 2 2 5" xfId="714" xr:uid="{00000000-0005-0000-0000-0000E0020000}"/>
    <cellStyle name="Normal 2 3" xfId="715" xr:uid="{00000000-0005-0000-0000-0000E1020000}"/>
    <cellStyle name="Normal 2 3 2" xfId="716" xr:uid="{00000000-0005-0000-0000-0000E2020000}"/>
    <cellStyle name="Normal 2 3 3" xfId="717" xr:uid="{00000000-0005-0000-0000-0000E3020000}"/>
    <cellStyle name="Normal 2 3 4" xfId="718" xr:uid="{00000000-0005-0000-0000-0000E4020000}"/>
    <cellStyle name="Normal 2 4" xfId="719" xr:uid="{00000000-0005-0000-0000-0000E5020000}"/>
    <cellStyle name="Normal 2 4 2" xfId="720" xr:uid="{00000000-0005-0000-0000-0000E6020000}"/>
    <cellStyle name="Normal 2 4 3" xfId="721" xr:uid="{00000000-0005-0000-0000-0000E7020000}"/>
    <cellStyle name="Normal 2 4 3 2" xfId="722" xr:uid="{00000000-0005-0000-0000-0000E8020000}"/>
    <cellStyle name="Normal 2 5" xfId="723" xr:uid="{00000000-0005-0000-0000-0000E9020000}"/>
    <cellStyle name="Normal 2 6" xfId="724" xr:uid="{00000000-0005-0000-0000-0000EA020000}"/>
    <cellStyle name="Normal 2 7" xfId="725" xr:uid="{00000000-0005-0000-0000-0000EB020000}"/>
    <cellStyle name="Normal 2_Calcs" xfId="726" xr:uid="{00000000-0005-0000-0000-0000EC020000}"/>
    <cellStyle name="Normal 20" xfId="727" xr:uid="{00000000-0005-0000-0000-0000ED020000}"/>
    <cellStyle name="Normal 20 2" xfId="728" xr:uid="{00000000-0005-0000-0000-0000EE020000}"/>
    <cellStyle name="Normal 20 2 2" xfId="729" xr:uid="{00000000-0005-0000-0000-0000EF020000}"/>
    <cellStyle name="Normal 20 3" xfId="730" xr:uid="{00000000-0005-0000-0000-0000F0020000}"/>
    <cellStyle name="Normal 200" xfId="731" xr:uid="{00000000-0005-0000-0000-0000F1020000}"/>
    <cellStyle name="Normal 201" xfId="732" xr:uid="{00000000-0005-0000-0000-0000F2020000}"/>
    <cellStyle name="Normal 202" xfId="733" xr:uid="{00000000-0005-0000-0000-0000F3020000}"/>
    <cellStyle name="Normal 203" xfId="734" xr:uid="{00000000-0005-0000-0000-0000F4020000}"/>
    <cellStyle name="Normal 204" xfId="735" xr:uid="{00000000-0005-0000-0000-0000F5020000}"/>
    <cellStyle name="Normal 205" xfId="736" xr:uid="{00000000-0005-0000-0000-0000F6020000}"/>
    <cellStyle name="Normal 206" xfId="737" xr:uid="{00000000-0005-0000-0000-0000F7020000}"/>
    <cellStyle name="Normal 207" xfId="738" xr:uid="{00000000-0005-0000-0000-0000F8020000}"/>
    <cellStyle name="Normal 208" xfId="739" xr:uid="{00000000-0005-0000-0000-0000F9020000}"/>
    <cellStyle name="Normal 209" xfId="740" xr:uid="{00000000-0005-0000-0000-0000FA020000}"/>
    <cellStyle name="Normal 209 2" xfId="741" xr:uid="{00000000-0005-0000-0000-0000FB020000}"/>
    <cellStyle name="Normal 21" xfId="5" xr:uid="{00000000-0005-0000-0000-0000FC020000}"/>
    <cellStyle name="Normal 21 2" xfId="743" xr:uid="{00000000-0005-0000-0000-0000FD020000}"/>
    <cellStyle name="Normal 21 2 2" xfId="744" xr:uid="{00000000-0005-0000-0000-0000FE020000}"/>
    <cellStyle name="Normal 21 2 3" xfId="745" xr:uid="{00000000-0005-0000-0000-0000FF020000}"/>
    <cellStyle name="Normal 21 3" xfId="746" xr:uid="{00000000-0005-0000-0000-000000030000}"/>
    <cellStyle name="Normal 21 4" xfId="747" xr:uid="{00000000-0005-0000-0000-000001030000}"/>
    <cellStyle name="Normal 21 5" xfId="742" xr:uid="{00000000-0005-0000-0000-000002030000}"/>
    <cellStyle name="Normal 21 5 2" xfId="1277" xr:uid="{00000000-0005-0000-0000-000003030000}"/>
    <cellStyle name="Normal 210" xfId="748" xr:uid="{00000000-0005-0000-0000-000004030000}"/>
    <cellStyle name="Normal 211" xfId="44" xr:uid="{00000000-0005-0000-0000-000005030000}"/>
    <cellStyle name="Normal 212" xfId="1229" xr:uid="{00000000-0005-0000-0000-000006030000}"/>
    <cellStyle name="Normal 213" xfId="1235" xr:uid="{00000000-0005-0000-0000-000007030000}"/>
    <cellStyle name="Normal 214" xfId="1236" xr:uid="{00000000-0005-0000-0000-000008030000}"/>
    <cellStyle name="Normal 215" xfId="1237" xr:uid="{00000000-0005-0000-0000-000009030000}"/>
    <cellStyle name="Normal 216" xfId="1238" xr:uid="{00000000-0005-0000-0000-00000A030000}"/>
    <cellStyle name="Normal 217" xfId="1234" xr:uid="{00000000-0005-0000-0000-00000B030000}"/>
    <cellStyle name="Normal 218" xfId="1239" xr:uid="{00000000-0005-0000-0000-00000C030000}"/>
    <cellStyle name="Normal 219" xfId="1240" xr:uid="{00000000-0005-0000-0000-00000D030000}"/>
    <cellStyle name="Normal 22" xfId="749" xr:uid="{00000000-0005-0000-0000-00000E030000}"/>
    <cellStyle name="Normal 22 2" xfId="750" xr:uid="{00000000-0005-0000-0000-00000F030000}"/>
    <cellStyle name="Normal 22 2 2" xfId="751" xr:uid="{00000000-0005-0000-0000-000010030000}"/>
    <cellStyle name="Normal 22 2 3" xfId="752" xr:uid="{00000000-0005-0000-0000-000011030000}"/>
    <cellStyle name="Normal 22 3" xfId="753" xr:uid="{00000000-0005-0000-0000-000012030000}"/>
    <cellStyle name="Normal 22 4" xfId="754" xr:uid="{00000000-0005-0000-0000-000013030000}"/>
    <cellStyle name="Normal 22 5" xfId="1278" xr:uid="{00000000-0005-0000-0000-000014030000}"/>
    <cellStyle name="Normal 220" xfId="1241" xr:uid="{00000000-0005-0000-0000-000015030000}"/>
    <cellStyle name="Normal 221" xfId="1248" xr:uid="{00000000-0005-0000-0000-000016030000}"/>
    <cellStyle name="Normal 222" xfId="1249" xr:uid="{00000000-0005-0000-0000-000017030000}"/>
    <cellStyle name="Normal 223" xfId="1250" xr:uid="{00000000-0005-0000-0000-000018030000}"/>
    <cellStyle name="Normal 224" xfId="1282" xr:uid="{00000000-0005-0000-0000-000018050000}"/>
    <cellStyle name="Normal 23" xfId="755" xr:uid="{00000000-0005-0000-0000-000019030000}"/>
    <cellStyle name="Normal 23 2" xfId="756" xr:uid="{00000000-0005-0000-0000-00001A030000}"/>
    <cellStyle name="Normal 23 2 2" xfId="757" xr:uid="{00000000-0005-0000-0000-00001B030000}"/>
    <cellStyle name="Normal 23 2 3" xfId="758" xr:uid="{00000000-0005-0000-0000-00001C030000}"/>
    <cellStyle name="Normal 23 3" xfId="759" xr:uid="{00000000-0005-0000-0000-00001D030000}"/>
    <cellStyle name="Normal 24" xfId="760" xr:uid="{00000000-0005-0000-0000-00001E030000}"/>
    <cellStyle name="Normal 24 2" xfId="761" xr:uid="{00000000-0005-0000-0000-00001F030000}"/>
    <cellStyle name="Normal 24 2 2" xfId="762" xr:uid="{00000000-0005-0000-0000-000020030000}"/>
    <cellStyle name="Normal 24 2 3" xfId="763" xr:uid="{00000000-0005-0000-0000-000021030000}"/>
    <cellStyle name="Normal 24 3" xfId="764" xr:uid="{00000000-0005-0000-0000-000022030000}"/>
    <cellStyle name="Normal 25" xfId="765" xr:uid="{00000000-0005-0000-0000-000023030000}"/>
    <cellStyle name="Normal 25 2" xfId="766" xr:uid="{00000000-0005-0000-0000-000024030000}"/>
    <cellStyle name="Normal 25 3" xfId="767" xr:uid="{00000000-0005-0000-0000-000025030000}"/>
    <cellStyle name="Normal 26" xfId="768" xr:uid="{00000000-0005-0000-0000-000026030000}"/>
    <cellStyle name="Normal 26 2" xfId="769" xr:uid="{00000000-0005-0000-0000-000027030000}"/>
    <cellStyle name="Normal 26 3" xfId="770" xr:uid="{00000000-0005-0000-0000-000028030000}"/>
    <cellStyle name="Normal 27" xfId="771" xr:uid="{00000000-0005-0000-0000-000029030000}"/>
    <cellStyle name="Normal 27 2" xfId="772" xr:uid="{00000000-0005-0000-0000-00002A030000}"/>
    <cellStyle name="Normal 27 3" xfId="773" xr:uid="{00000000-0005-0000-0000-00002B030000}"/>
    <cellStyle name="Normal 28" xfId="774" xr:uid="{00000000-0005-0000-0000-00002C030000}"/>
    <cellStyle name="Normal 28 2" xfId="775" xr:uid="{00000000-0005-0000-0000-00002D030000}"/>
    <cellStyle name="Normal 28 3" xfId="776" xr:uid="{00000000-0005-0000-0000-00002E030000}"/>
    <cellStyle name="Normal 29" xfId="777" xr:uid="{00000000-0005-0000-0000-00002F030000}"/>
    <cellStyle name="Normal 29 2" xfId="778" xr:uid="{00000000-0005-0000-0000-000030030000}"/>
    <cellStyle name="Normal 29 3" xfId="779" xr:uid="{00000000-0005-0000-0000-000031030000}"/>
    <cellStyle name="Normal 29 3 2" xfId="780" xr:uid="{00000000-0005-0000-0000-000032030000}"/>
    <cellStyle name="Normal 29 3 3" xfId="781" xr:uid="{00000000-0005-0000-0000-000033030000}"/>
    <cellStyle name="Normal 3" xfId="782" xr:uid="{00000000-0005-0000-0000-000034030000}"/>
    <cellStyle name="Normal 3 2" xfId="783" xr:uid="{00000000-0005-0000-0000-000035030000}"/>
    <cellStyle name="Normal 3 2 2" xfId="784" xr:uid="{00000000-0005-0000-0000-000036030000}"/>
    <cellStyle name="Normal 3 2 3" xfId="785" xr:uid="{00000000-0005-0000-0000-000037030000}"/>
    <cellStyle name="Normal 3 2 4" xfId="786" xr:uid="{00000000-0005-0000-0000-000038030000}"/>
    <cellStyle name="Normal 3 2 5" xfId="787" xr:uid="{00000000-0005-0000-0000-000039030000}"/>
    <cellStyle name="Normal 3 2 5 2" xfId="788" xr:uid="{00000000-0005-0000-0000-00003A030000}"/>
    <cellStyle name="Normal 3 2 5 2 2" xfId="789" xr:uid="{00000000-0005-0000-0000-00003B030000}"/>
    <cellStyle name="Normal 3 2 5 2 3" xfId="790" xr:uid="{00000000-0005-0000-0000-00003C030000}"/>
    <cellStyle name="Normal 3 2 6" xfId="791" xr:uid="{00000000-0005-0000-0000-00003D030000}"/>
    <cellStyle name="Normal 3 3" xfId="792" xr:uid="{00000000-0005-0000-0000-00003E030000}"/>
    <cellStyle name="Normal 3 3 2" xfId="793" xr:uid="{00000000-0005-0000-0000-00003F030000}"/>
    <cellStyle name="Normal 3 4" xfId="794" xr:uid="{00000000-0005-0000-0000-000040030000}"/>
    <cellStyle name="Normal 3 5" xfId="795" xr:uid="{00000000-0005-0000-0000-000041030000}"/>
    <cellStyle name="Normal 3 5 2" xfId="1279" xr:uid="{00000000-0005-0000-0000-000042030000}"/>
    <cellStyle name="Normal 30" xfId="796" xr:uid="{00000000-0005-0000-0000-000043030000}"/>
    <cellStyle name="Normal 30 2" xfId="797" xr:uid="{00000000-0005-0000-0000-000044030000}"/>
    <cellStyle name="Normal 30 3" xfId="798" xr:uid="{00000000-0005-0000-0000-000045030000}"/>
    <cellStyle name="Normal 30 3 2" xfId="799" xr:uid="{00000000-0005-0000-0000-000046030000}"/>
    <cellStyle name="Normal 30 3 3" xfId="800" xr:uid="{00000000-0005-0000-0000-000047030000}"/>
    <cellStyle name="Normal 31" xfId="801" xr:uid="{00000000-0005-0000-0000-000048030000}"/>
    <cellStyle name="Normal 31 2" xfId="802" xr:uid="{00000000-0005-0000-0000-000049030000}"/>
    <cellStyle name="Normal 32" xfId="803" xr:uid="{00000000-0005-0000-0000-00004A030000}"/>
    <cellStyle name="Normal 32 2" xfId="804" xr:uid="{00000000-0005-0000-0000-00004B030000}"/>
    <cellStyle name="Normal 32 2 2" xfId="805" xr:uid="{00000000-0005-0000-0000-00004C030000}"/>
    <cellStyle name="Normal 32 2 3" xfId="806" xr:uid="{00000000-0005-0000-0000-00004D030000}"/>
    <cellStyle name="Normal 33" xfId="9" xr:uid="{00000000-0005-0000-0000-00004E030000}"/>
    <cellStyle name="Normal 33 2" xfId="807" xr:uid="{00000000-0005-0000-0000-00004F030000}"/>
    <cellStyle name="Normal 34" xfId="808" xr:uid="{00000000-0005-0000-0000-000050030000}"/>
    <cellStyle name="Normal 34 2" xfId="809" xr:uid="{00000000-0005-0000-0000-000051030000}"/>
    <cellStyle name="Normal 34 3" xfId="810" xr:uid="{00000000-0005-0000-0000-000052030000}"/>
    <cellStyle name="Normal 34 4" xfId="811" xr:uid="{00000000-0005-0000-0000-000053030000}"/>
    <cellStyle name="Normal 35" xfId="12" xr:uid="{00000000-0005-0000-0000-000054030000}"/>
    <cellStyle name="Normal 35 2" xfId="812" xr:uid="{00000000-0005-0000-0000-000055030000}"/>
    <cellStyle name="Normal 35 2 2" xfId="813" xr:uid="{00000000-0005-0000-0000-000056030000}"/>
    <cellStyle name="Normal 35 2 3" xfId="814" xr:uid="{00000000-0005-0000-0000-000057030000}"/>
    <cellStyle name="Normal 35 3" xfId="815" xr:uid="{00000000-0005-0000-0000-000058030000}"/>
    <cellStyle name="Normal 35 4" xfId="816" xr:uid="{00000000-0005-0000-0000-000059030000}"/>
    <cellStyle name="Normal 36" xfId="817" xr:uid="{00000000-0005-0000-0000-00005A030000}"/>
    <cellStyle name="Normal 36 2" xfId="818" xr:uid="{00000000-0005-0000-0000-00005B030000}"/>
    <cellStyle name="Normal 37" xfId="819" xr:uid="{00000000-0005-0000-0000-00005C030000}"/>
    <cellStyle name="Normal 37 2" xfId="820" xr:uid="{00000000-0005-0000-0000-00005D030000}"/>
    <cellStyle name="Normal 38" xfId="821" xr:uid="{00000000-0005-0000-0000-00005E030000}"/>
    <cellStyle name="Normal 38 2" xfId="822" xr:uid="{00000000-0005-0000-0000-00005F030000}"/>
    <cellStyle name="Normal 38 2 2" xfId="823" xr:uid="{00000000-0005-0000-0000-000060030000}"/>
    <cellStyle name="Normal 38 2 3" xfId="824" xr:uid="{00000000-0005-0000-0000-000061030000}"/>
    <cellStyle name="Normal 39" xfId="825" xr:uid="{00000000-0005-0000-0000-000062030000}"/>
    <cellStyle name="Normal 39 2" xfId="826" xr:uid="{00000000-0005-0000-0000-000063030000}"/>
    <cellStyle name="Normal 39 2 2" xfId="827" xr:uid="{00000000-0005-0000-0000-000064030000}"/>
    <cellStyle name="Normal 39 2 3" xfId="828" xr:uid="{00000000-0005-0000-0000-000065030000}"/>
    <cellStyle name="Normal 4" xfId="829" xr:uid="{00000000-0005-0000-0000-000066030000}"/>
    <cellStyle name="Normal 4 2" xfId="830" xr:uid="{00000000-0005-0000-0000-000067030000}"/>
    <cellStyle name="Normal 4 3" xfId="831" xr:uid="{00000000-0005-0000-0000-000068030000}"/>
    <cellStyle name="Normal 4 3 2" xfId="832" xr:uid="{00000000-0005-0000-0000-000069030000}"/>
    <cellStyle name="Normal 4 3 3" xfId="833" xr:uid="{00000000-0005-0000-0000-00006A030000}"/>
    <cellStyle name="Normal 4 4" xfId="834" xr:uid="{00000000-0005-0000-0000-00006B030000}"/>
    <cellStyle name="Normal 4 5" xfId="835" xr:uid="{00000000-0005-0000-0000-00006C030000}"/>
    <cellStyle name="Normal 4 5 2" xfId="1280" xr:uid="{00000000-0005-0000-0000-00006D030000}"/>
    <cellStyle name="Normal 4 6" xfId="836" xr:uid="{00000000-0005-0000-0000-00006E030000}"/>
    <cellStyle name="Normal 40" xfId="837" xr:uid="{00000000-0005-0000-0000-00006F030000}"/>
    <cellStyle name="Normal 40 2" xfId="838" xr:uid="{00000000-0005-0000-0000-000070030000}"/>
    <cellStyle name="Normal 41" xfId="839" xr:uid="{00000000-0005-0000-0000-000071030000}"/>
    <cellStyle name="Normal 41 2" xfId="840" xr:uid="{00000000-0005-0000-0000-000072030000}"/>
    <cellStyle name="Normal 41 2 2" xfId="841" xr:uid="{00000000-0005-0000-0000-000073030000}"/>
    <cellStyle name="Normal 41 2 3" xfId="842" xr:uid="{00000000-0005-0000-0000-000074030000}"/>
    <cellStyle name="Normal 42" xfId="843" xr:uid="{00000000-0005-0000-0000-000075030000}"/>
    <cellStyle name="Normal 42 2" xfId="844" xr:uid="{00000000-0005-0000-0000-000076030000}"/>
    <cellStyle name="Normal 42 2 2" xfId="845" xr:uid="{00000000-0005-0000-0000-000077030000}"/>
    <cellStyle name="Normal 42 2 3" xfId="846" xr:uid="{00000000-0005-0000-0000-000078030000}"/>
    <cellStyle name="Normal 43" xfId="847" xr:uid="{00000000-0005-0000-0000-000079030000}"/>
    <cellStyle name="Normal 43 2" xfId="848" xr:uid="{00000000-0005-0000-0000-00007A030000}"/>
    <cellStyle name="Normal 44" xfId="849" xr:uid="{00000000-0005-0000-0000-00007B030000}"/>
    <cellStyle name="Normal 44 2" xfId="850" xr:uid="{00000000-0005-0000-0000-00007C030000}"/>
    <cellStyle name="Normal 44 2 2" xfId="851" xr:uid="{00000000-0005-0000-0000-00007D030000}"/>
    <cellStyle name="Normal 44 2 3" xfId="852" xr:uid="{00000000-0005-0000-0000-00007E030000}"/>
    <cellStyle name="Normal 45" xfId="853" xr:uid="{00000000-0005-0000-0000-00007F030000}"/>
    <cellStyle name="Normal 45 2" xfId="854" xr:uid="{00000000-0005-0000-0000-000080030000}"/>
    <cellStyle name="Normal 46" xfId="855" xr:uid="{00000000-0005-0000-0000-000081030000}"/>
    <cellStyle name="Normal 46 2" xfId="856" xr:uid="{00000000-0005-0000-0000-000082030000}"/>
    <cellStyle name="Normal 47" xfId="857" xr:uid="{00000000-0005-0000-0000-000083030000}"/>
    <cellStyle name="Normal 47 2" xfId="858" xr:uid="{00000000-0005-0000-0000-000084030000}"/>
    <cellStyle name="Normal 48" xfId="859" xr:uid="{00000000-0005-0000-0000-000085030000}"/>
    <cellStyle name="Normal 48 2" xfId="860" xr:uid="{00000000-0005-0000-0000-000086030000}"/>
    <cellStyle name="Normal 49" xfId="861" xr:uid="{00000000-0005-0000-0000-000087030000}"/>
    <cellStyle name="Normal 49 2" xfId="862" xr:uid="{00000000-0005-0000-0000-000088030000}"/>
    <cellStyle name="Normal 5" xfId="863" xr:uid="{00000000-0005-0000-0000-000089030000}"/>
    <cellStyle name="Normal 5 2" xfId="864" xr:uid="{00000000-0005-0000-0000-00008A030000}"/>
    <cellStyle name="Normal 5 3" xfId="865" xr:uid="{00000000-0005-0000-0000-00008B030000}"/>
    <cellStyle name="Normal 50" xfId="866" xr:uid="{00000000-0005-0000-0000-00008C030000}"/>
    <cellStyle name="Normal 50 2" xfId="867" xr:uid="{00000000-0005-0000-0000-00008D030000}"/>
    <cellStyle name="Normal 51" xfId="868" xr:uid="{00000000-0005-0000-0000-00008E030000}"/>
    <cellStyle name="Normal 51 2" xfId="869" xr:uid="{00000000-0005-0000-0000-00008F030000}"/>
    <cellStyle name="Normal 52" xfId="870" xr:uid="{00000000-0005-0000-0000-000090030000}"/>
    <cellStyle name="Normal 52 2" xfId="871" xr:uid="{00000000-0005-0000-0000-000091030000}"/>
    <cellStyle name="Normal 52 3" xfId="872" xr:uid="{00000000-0005-0000-0000-000092030000}"/>
    <cellStyle name="Normal 53" xfId="873" xr:uid="{00000000-0005-0000-0000-000093030000}"/>
    <cellStyle name="Normal 53 2" xfId="874" xr:uid="{00000000-0005-0000-0000-000094030000}"/>
    <cellStyle name="Normal 53 3" xfId="875" xr:uid="{00000000-0005-0000-0000-000095030000}"/>
    <cellStyle name="Normal 54" xfId="876" xr:uid="{00000000-0005-0000-0000-000096030000}"/>
    <cellStyle name="Normal 54 2" xfId="877" xr:uid="{00000000-0005-0000-0000-000097030000}"/>
    <cellStyle name="Normal 54 2 2" xfId="878" xr:uid="{00000000-0005-0000-0000-000098030000}"/>
    <cellStyle name="Normal 54 3" xfId="879" xr:uid="{00000000-0005-0000-0000-000099030000}"/>
    <cellStyle name="Normal 54 4" xfId="880" xr:uid="{00000000-0005-0000-0000-00009A030000}"/>
    <cellStyle name="Normal 55" xfId="881" xr:uid="{00000000-0005-0000-0000-00009B030000}"/>
    <cellStyle name="Normal 56" xfId="882" xr:uid="{00000000-0005-0000-0000-00009C030000}"/>
    <cellStyle name="Normal 57" xfId="883" xr:uid="{00000000-0005-0000-0000-00009D030000}"/>
    <cellStyle name="Normal 57 2" xfId="884" xr:uid="{00000000-0005-0000-0000-00009E030000}"/>
    <cellStyle name="Normal 57 3" xfId="885" xr:uid="{00000000-0005-0000-0000-00009F030000}"/>
    <cellStyle name="Normal 58" xfId="886" xr:uid="{00000000-0005-0000-0000-0000A0030000}"/>
    <cellStyle name="Normal 58 2" xfId="887" xr:uid="{00000000-0005-0000-0000-0000A1030000}"/>
    <cellStyle name="Normal 59" xfId="888" xr:uid="{00000000-0005-0000-0000-0000A2030000}"/>
    <cellStyle name="Normal 6" xfId="889" xr:uid="{00000000-0005-0000-0000-0000A3030000}"/>
    <cellStyle name="Normal 6 2" xfId="890" xr:uid="{00000000-0005-0000-0000-0000A4030000}"/>
    <cellStyle name="Normal 6 3" xfId="891" xr:uid="{00000000-0005-0000-0000-0000A5030000}"/>
    <cellStyle name="Normal 60" xfId="892" xr:uid="{00000000-0005-0000-0000-0000A6030000}"/>
    <cellStyle name="Normal 61" xfId="893" xr:uid="{00000000-0005-0000-0000-0000A7030000}"/>
    <cellStyle name="Normal 62" xfId="894" xr:uid="{00000000-0005-0000-0000-0000A8030000}"/>
    <cellStyle name="Normal 63" xfId="895" xr:uid="{00000000-0005-0000-0000-0000A9030000}"/>
    <cellStyle name="Normal 64" xfId="896" xr:uid="{00000000-0005-0000-0000-0000AA030000}"/>
    <cellStyle name="Normal 64 2" xfId="897" xr:uid="{00000000-0005-0000-0000-0000AB030000}"/>
    <cellStyle name="Normal 64 3" xfId="898" xr:uid="{00000000-0005-0000-0000-0000AC030000}"/>
    <cellStyle name="Normal 64 4" xfId="899" xr:uid="{00000000-0005-0000-0000-0000AD030000}"/>
    <cellStyle name="Normal 65" xfId="900" xr:uid="{00000000-0005-0000-0000-0000AE030000}"/>
    <cellStyle name="Normal 66" xfId="901" xr:uid="{00000000-0005-0000-0000-0000AF030000}"/>
    <cellStyle name="Normal 67" xfId="902" xr:uid="{00000000-0005-0000-0000-0000B0030000}"/>
    <cellStyle name="Normal 67 2" xfId="903" xr:uid="{00000000-0005-0000-0000-0000B1030000}"/>
    <cellStyle name="Normal 67 3" xfId="904" xr:uid="{00000000-0005-0000-0000-0000B2030000}"/>
    <cellStyle name="Normal 68" xfId="905" xr:uid="{00000000-0005-0000-0000-0000B3030000}"/>
    <cellStyle name="Normal 68 2" xfId="906" xr:uid="{00000000-0005-0000-0000-0000B4030000}"/>
    <cellStyle name="Normal 68 3" xfId="907" xr:uid="{00000000-0005-0000-0000-0000B5030000}"/>
    <cellStyle name="Normal 69" xfId="908" xr:uid="{00000000-0005-0000-0000-0000B6030000}"/>
    <cellStyle name="Normal 69 2" xfId="909" xr:uid="{00000000-0005-0000-0000-0000B7030000}"/>
    <cellStyle name="Normal 69 3" xfId="910" xr:uid="{00000000-0005-0000-0000-0000B8030000}"/>
    <cellStyle name="Normal 7" xfId="911" xr:uid="{00000000-0005-0000-0000-0000B9030000}"/>
    <cellStyle name="Normal 7 2" xfId="912" xr:uid="{00000000-0005-0000-0000-0000BA030000}"/>
    <cellStyle name="Normal 7 3" xfId="913" xr:uid="{00000000-0005-0000-0000-0000BB030000}"/>
    <cellStyle name="Normal 7_USDTreasury" xfId="914" xr:uid="{00000000-0005-0000-0000-0000BC030000}"/>
    <cellStyle name="Normal 70" xfId="915" xr:uid="{00000000-0005-0000-0000-0000BD030000}"/>
    <cellStyle name="Normal 70 2" xfId="916" xr:uid="{00000000-0005-0000-0000-0000BE030000}"/>
    <cellStyle name="Normal 70 3" xfId="917" xr:uid="{00000000-0005-0000-0000-0000BF030000}"/>
    <cellStyle name="Normal 71" xfId="918" xr:uid="{00000000-0005-0000-0000-0000C0030000}"/>
    <cellStyle name="Normal 71 2" xfId="919" xr:uid="{00000000-0005-0000-0000-0000C1030000}"/>
    <cellStyle name="Normal 71 3" xfId="920" xr:uid="{00000000-0005-0000-0000-0000C2030000}"/>
    <cellStyle name="Normal 71 4" xfId="921" xr:uid="{00000000-0005-0000-0000-0000C3030000}"/>
    <cellStyle name="Normal 72" xfId="922" xr:uid="{00000000-0005-0000-0000-0000C4030000}"/>
    <cellStyle name="Normal 73" xfId="923" xr:uid="{00000000-0005-0000-0000-0000C5030000}"/>
    <cellStyle name="Normal 73 2" xfId="924" xr:uid="{00000000-0005-0000-0000-0000C6030000}"/>
    <cellStyle name="Normal 73 2 2" xfId="925" xr:uid="{00000000-0005-0000-0000-0000C7030000}"/>
    <cellStyle name="Normal 73 3" xfId="926" xr:uid="{00000000-0005-0000-0000-0000C8030000}"/>
    <cellStyle name="Normal 73 4" xfId="927" xr:uid="{00000000-0005-0000-0000-0000C9030000}"/>
    <cellStyle name="Normal 74" xfId="928" xr:uid="{00000000-0005-0000-0000-0000CA030000}"/>
    <cellStyle name="Normal 75" xfId="929" xr:uid="{00000000-0005-0000-0000-0000CB030000}"/>
    <cellStyle name="Normal 76" xfId="930" xr:uid="{00000000-0005-0000-0000-0000CC030000}"/>
    <cellStyle name="Normal 76 2" xfId="931" xr:uid="{00000000-0005-0000-0000-0000CD030000}"/>
    <cellStyle name="Normal 76 2 2" xfId="932" xr:uid="{00000000-0005-0000-0000-0000CE030000}"/>
    <cellStyle name="Normal 76 2 3" xfId="933" xr:uid="{00000000-0005-0000-0000-0000CF030000}"/>
    <cellStyle name="Normal 76 3" xfId="934" xr:uid="{00000000-0005-0000-0000-0000D0030000}"/>
    <cellStyle name="Normal 77" xfId="935" xr:uid="{00000000-0005-0000-0000-0000D1030000}"/>
    <cellStyle name="Normal 78" xfId="936" xr:uid="{00000000-0005-0000-0000-0000D2030000}"/>
    <cellStyle name="Normal 78 2" xfId="937" xr:uid="{00000000-0005-0000-0000-0000D3030000}"/>
    <cellStyle name="Normal 78 3" xfId="938" xr:uid="{00000000-0005-0000-0000-0000D4030000}"/>
    <cellStyle name="Normal 79" xfId="939" xr:uid="{00000000-0005-0000-0000-0000D5030000}"/>
    <cellStyle name="Normal 79 2" xfId="940" xr:uid="{00000000-0005-0000-0000-0000D6030000}"/>
    <cellStyle name="Normal 79 2 2" xfId="941" xr:uid="{00000000-0005-0000-0000-0000D7030000}"/>
    <cellStyle name="Normal 79 2 2 2" xfId="942" xr:uid="{00000000-0005-0000-0000-0000D8030000}"/>
    <cellStyle name="Normal 79 2 2 3" xfId="943" xr:uid="{00000000-0005-0000-0000-0000D9030000}"/>
    <cellStyle name="Normal 79 2 3" xfId="944" xr:uid="{00000000-0005-0000-0000-0000DA030000}"/>
    <cellStyle name="Normal 79 3" xfId="945" xr:uid="{00000000-0005-0000-0000-0000DB030000}"/>
    <cellStyle name="Normal 79 3 2" xfId="946" xr:uid="{00000000-0005-0000-0000-0000DC030000}"/>
    <cellStyle name="Normal 79 3 3" xfId="947" xr:uid="{00000000-0005-0000-0000-0000DD030000}"/>
    <cellStyle name="Normal 8" xfId="948" xr:uid="{00000000-0005-0000-0000-0000DE030000}"/>
    <cellStyle name="Normal 8 2" xfId="949" xr:uid="{00000000-0005-0000-0000-0000DF030000}"/>
    <cellStyle name="Normal 8 3" xfId="950" xr:uid="{00000000-0005-0000-0000-0000E0030000}"/>
    <cellStyle name="Normal 8 4" xfId="951" xr:uid="{00000000-0005-0000-0000-0000E1030000}"/>
    <cellStyle name="Normal 8_USDTreasury" xfId="952" xr:uid="{00000000-0005-0000-0000-0000E2030000}"/>
    <cellStyle name="Normal 80" xfId="953" xr:uid="{00000000-0005-0000-0000-0000E3030000}"/>
    <cellStyle name="Normal 80 2" xfId="954" xr:uid="{00000000-0005-0000-0000-0000E4030000}"/>
    <cellStyle name="Normal 80 3" xfId="955" xr:uid="{00000000-0005-0000-0000-0000E5030000}"/>
    <cellStyle name="Normal 80 4" xfId="956" xr:uid="{00000000-0005-0000-0000-0000E6030000}"/>
    <cellStyle name="Normal 81" xfId="11" xr:uid="{00000000-0005-0000-0000-0000E7030000}"/>
    <cellStyle name="Normal 81 2" xfId="957" xr:uid="{00000000-0005-0000-0000-0000E8030000}"/>
    <cellStyle name="Normal 81 2 2" xfId="958" xr:uid="{00000000-0005-0000-0000-0000E9030000}"/>
    <cellStyle name="Normal 81 2 3" xfId="959" xr:uid="{00000000-0005-0000-0000-0000EA030000}"/>
    <cellStyle name="Normal 81 3" xfId="960" xr:uid="{00000000-0005-0000-0000-0000EB030000}"/>
    <cellStyle name="Normal 82" xfId="10" xr:uid="{00000000-0005-0000-0000-0000EC030000}"/>
    <cellStyle name="Normal 82 2" xfId="961" xr:uid="{00000000-0005-0000-0000-0000ED030000}"/>
    <cellStyle name="Normal 82 2 2" xfId="962" xr:uid="{00000000-0005-0000-0000-0000EE030000}"/>
    <cellStyle name="Normal 82 3" xfId="963" xr:uid="{00000000-0005-0000-0000-0000EF030000}"/>
    <cellStyle name="Normal 83" xfId="964" xr:uid="{00000000-0005-0000-0000-0000F0030000}"/>
    <cellStyle name="Normal 83 2" xfId="965" xr:uid="{00000000-0005-0000-0000-0000F1030000}"/>
    <cellStyle name="Normal 83 2 2" xfId="966" xr:uid="{00000000-0005-0000-0000-0000F2030000}"/>
    <cellStyle name="Normal 83 3" xfId="967" xr:uid="{00000000-0005-0000-0000-0000F3030000}"/>
    <cellStyle name="Normal 84" xfId="7" xr:uid="{00000000-0005-0000-0000-0000F4030000}"/>
    <cellStyle name="Normal 85" xfId="968" xr:uid="{00000000-0005-0000-0000-0000F5030000}"/>
    <cellStyle name="Normal 86" xfId="969" xr:uid="{00000000-0005-0000-0000-0000F6030000}"/>
    <cellStyle name="Normal 87" xfId="970" xr:uid="{00000000-0005-0000-0000-0000F7030000}"/>
    <cellStyle name="Normal 87 2" xfId="971" xr:uid="{00000000-0005-0000-0000-0000F8030000}"/>
    <cellStyle name="Normal 87 3" xfId="972" xr:uid="{00000000-0005-0000-0000-0000F9030000}"/>
    <cellStyle name="Normal 88" xfId="973" xr:uid="{00000000-0005-0000-0000-0000FA030000}"/>
    <cellStyle name="Normal 88 2" xfId="974" xr:uid="{00000000-0005-0000-0000-0000FB030000}"/>
    <cellStyle name="Normal 88 3" xfId="975" xr:uid="{00000000-0005-0000-0000-0000FC030000}"/>
    <cellStyle name="Normal 89" xfId="976" xr:uid="{00000000-0005-0000-0000-0000FD030000}"/>
    <cellStyle name="Normal 9" xfId="977" xr:uid="{00000000-0005-0000-0000-0000FE030000}"/>
    <cellStyle name="Normal 9 2" xfId="978" xr:uid="{00000000-0005-0000-0000-0000FF030000}"/>
    <cellStyle name="Normal 9 3" xfId="979" xr:uid="{00000000-0005-0000-0000-000000040000}"/>
    <cellStyle name="Normal 90" xfId="980" xr:uid="{00000000-0005-0000-0000-000001040000}"/>
    <cellStyle name="Normal 90 2" xfId="981" xr:uid="{00000000-0005-0000-0000-000002040000}"/>
    <cellStyle name="Normal 90 3" xfId="982" xr:uid="{00000000-0005-0000-0000-000003040000}"/>
    <cellStyle name="Normal 91" xfId="983" xr:uid="{00000000-0005-0000-0000-000004040000}"/>
    <cellStyle name="Normal 91 2" xfId="984" xr:uid="{00000000-0005-0000-0000-000005040000}"/>
    <cellStyle name="Normal 91 2 2" xfId="985" xr:uid="{00000000-0005-0000-0000-000006040000}"/>
    <cellStyle name="Normal 91 2 3" xfId="986" xr:uid="{00000000-0005-0000-0000-000007040000}"/>
    <cellStyle name="Normal 92" xfId="987" xr:uid="{00000000-0005-0000-0000-000008040000}"/>
    <cellStyle name="Normal 93" xfId="988" xr:uid="{00000000-0005-0000-0000-000009040000}"/>
    <cellStyle name="Normal 94" xfId="989" xr:uid="{00000000-0005-0000-0000-00000A040000}"/>
    <cellStyle name="Normal 94 2" xfId="990" xr:uid="{00000000-0005-0000-0000-00000B040000}"/>
    <cellStyle name="Normal 94 3" xfId="991" xr:uid="{00000000-0005-0000-0000-00000C040000}"/>
    <cellStyle name="Normal 94 4" xfId="992" xr:uid="{00000000-0005-0000-0000-00000D040000}"/>
    <cellStyle name="Normal 94 4 2" xfId="993" xr:uid="{00000000-0005-0000-0000-00000E040000}"/>
    <cellStyle name="Normal 94 4 3" xfId="994" xr:uid="{00000000-0005-0000-0000-00000F040000}"/>
    <cellStyle name="Normal 95" xfId="995" xr:uid="{00000000-0005-0000-0000-000010040000}"/>
    <cellStyle name="Normal 96" xfId="996" xr:uid="{00000000-0005-0000-0000-000011040000}"/>
    <cellStyle name="Normal 97" xfId="997" xr:uid="{00000000-0005-0000-0000-000012040000}"/>
    <cellStyle name="Normal 97 2" xfId="998" xr:uid="{00000000-0005-0000-0000-000013040000}"/>
    <cellStyle name="Normal 97 3" xfId="999" xr:uid="{00000000-0005-0000-0000-000014040000}"/>
    <cellStyle name="Normal 97 4" xfId="1000" xr:uid="{00000000-0005-0000-0000-000015040000}"/>
    <cellStyle name="Normal 98" xfId="1001" xr:uid="{00000000-0005-0000-0000-000016040000}"/>
    <cellStyle name="Normal 98 2" xfId="1002" xr:uid="{00000000-0005-0000-0000-000017040000}"/>
    <cellStyle name="Normal 98 2 2" xfId="1003" xr:uid="{00000000-0005-0000-0000-000018040000}"/>
    <cellStyle name="Normal 98 2 3" xfId="1004" xr:uid="{00000000-0005-0000-0000-000019040000}"/>
    <cellStyle name="Normal 99" xfId="1005" xr:uid="{00000000-0005-0000-0000-00001A040000}"/>
    <cellStyle name="Normal 99 2" xfId="1006" xr:uid="{00000000-0005-0000-0000-00001B040000}"/>
    <cellStyle name="Normal 99 3" xfId="1007" xr:uid="{00000000-0005-0000-0000-00001C040000}"/>
    <cellStyle name="Note 2" xfId="1008" xr:uid="{00000000-0005-0000-0000-00001D040000}"/>
    <cellStyle name="Note 2 2" xfId="1009" xr:uid="{00000000-0005-0000-0000-00001E040000}"/>
    <cellStyle name="Note 2 3" xfId="1010" xr:uid="{00000000-0005-0000-0000-00001F040000}"/>
    <cellStyle name="Note 2 4" xfId="1011" xr:uid="{00000000-0005-0000-0000-000020040000}"/>
    <cellStyle name="Note 2 4 2" xfId="1012" xr:uid="{00000000-0005-0000-0000-000021040000}"/>
    <cellStyle name="Note 3" xfId="1013" xr:uid="{00000000-0005-0000-0000-000022040000}"/>
    <cellStyle name="ObjectDataColumn" xfId="1014" xr:uid="{00000000-0005-0000-0000-000023040000}"/>
    <cellStyle name="ObjectDataRow" xfId="1015" xr:uid="{00000000-0005-0000-0000-000024040000}"/>
    <cellStyle name="ObjectLabelColumn" xfId="1016" xr:uid="{00000000-0005-0000-0000-000025040000}"/>
    <cellStyle name="ObjectLabelRow" xfId="1017" xr:uid="{00000000-0005-0000-0000-000026040000}"/>
    <cellStyle name="Output" xfId="19" builtinId="21" customBuiltin="1"/>
    <cellStyle name="Output 2" xfId="1018" xr:uid="{00000000-0005-0000-0000-000028040000}"/>
    <cellStyle name="Output 2 2" xfId="1019" xr:uid="{00000000-0005-0000-0000-000029040000}"/>
    <cellStyle name="Output 3" xfId="1020" xr:uid="{00000000-0005-0000-0000-00002A040000}"/>
    <cellStyle name="OutputDataColumn" xfId="1021" xr:uid="{00000000-0005-0000-0000-00002B040000}"/>
    <cellStyle name="OutputDataRow" xfId="1022" xr:uid="{00000000-0005-0000-0000-00002C040000}"/>
    <cellStyle name="OutputLabelColumn" xfId="1023" xr:uid="{00000000-0005-0000-0000-00002D040000}"/>
    <cellStyle name="OutputLabelRow" xfId="1024" xr:uid="{00000000-0005-0000-0000-00002E040000}"/>
    <cellStyle name="PanelLabel" xfId="1025" xr:uid="{00000000-0005-0000-0000-00002F040000}"/>
    <cellStyle name="per.style" xfId="1026" xr:uid="{00000000-0005-0000-0000-000030040000}"/>
    <cellStyle name="Percent" xfId="1" builtinId="5"/>
    <cellStyle name="Percent 10" xfId="1028" xr:uid="{00000000-0005-0000-0000-000032040000}"/>
    <cellStyle name="Percent 10 2" xfId="1029" xr:uid="{00000000-0005-0000-0000-000033040000}"/>
    <cellStyle name="Percent 10 2 2" xfId="1030" xr:uid="{00000000-0005-0000-0000-000034040000}"/>
    <cellStyle name="Percent 10 2 3" xfId="1031" xr:uid="{00000000-0005-0000-0000-000035040000}"/>
    <cellStyle name="Percent 10 3" xfId="1032" xr:uid="{00000000-0005-0000-0000-000036040000}"/>
    <cellStyle name="Percent 10 4" xfId="1033" xr:uid="{00000000-0005-0000-0000-000037040000}"/>
    <cellStyle name="Percent 10 5" xfId="1034" xr:uid="{00000000-0005-0000-0000-000038040000}"/>
    <cellStyle name="Percent 11" xfId="1035" xr:uid="{00000000-0005-0000-0000-000039040000}"/>
    <cellStyle name="Percent 11 2" xfId="1036" xr:uid="{00000000-0005-0000-0000-00003A040000}"/>
    <cellStyle name="Percent 11 3" xfId="1037" xr:uid="{00000000-0005-0000-0000-00003B040000}"/>
    <cellStyle name="Percent 11 4" xfId="1038" xr:uid="{00000000-0005-0000-0000-00003C040000}"/>
    <cellStyle name="Percent 11 5" xfId="1039" xr:uid="{00000000-0005-0000-0000-00003D040000}"/>
    <cellStyle name="Percent 12" xfId="1040" xr:uid="{00000000-0005-0000-0000-00003E040000}"/>
    <cellStyle name="Percent 12 2" xfId="1041" xr:uid="{00000000-0005-0000-0000-00003F040000}"/>
    <cellStyle name="Percent 12 3" xfId="1042" xr:uid="{00000000-0005-0000-0000-000040040000}"/>
    <cellStyle name="Percent 12 4" xfId="1043" xr:uid="{00000000-0005-0000-0000-000041040000}"/>
    <cellStyle name="Percent 12 5" xfId="1044" xr:uid="{00000000-0005-0000-0000-000042040000}"/>
    <cellStyle name="Percent 12 6" xfId="1045" xr:uid="{00000000-0005-0000-0000-000043040000}"/>
    <cellStyle name="Percent 13" xfId="1046" xr:uid="{00000000-0005-0000-0000-000044040000}"/>
    <cellStyle name="Percent 13 2" xfId="1047" xr:uid="{00000000-0005-0000-0000-000045040000}"/>
    <cellStyle name="Percent 13 3" xfId="1048" xr:uid="{00000000-0005-0000-0000-000046040000}"/>
    <cellStyle name="Percent 13 4" xfId="1049" xr:uid="{00000000-0005-0000-0000-000047040000}"/>
    <cellStyle name="Percent 14" xfId="1050" xr:uid="{00000000-0005-0000-0000-000048040000}"/>
    <cellStyle name="Percent 14 2" xfId="1051" xr:uid="{00000000-0005-0000-0000-000049040000}"/>
    <cellStyle name="Percent 14 3" xfId="1052" xr:uid="{00000000-0005-0000-0000-00004A040000}"/>
    <cellStyle name="Percent 15" xfId="1053" xr:uid="{00000000-0005-0000-0000-00004B040000}"/>
    <cellStyle name="Percent 15 2" xfId="1054" xr:uid="{00000000-0005-0000-0000-00004C040000}"/>
    <cellStyle name="Percent 15 3" xfId="1055" xr:uid="{00000000-0005-0000-0000-00004D040000}"/>
    <cellStyle name="Percent 16" xfId="1056" xr:uid="{00000000-0005-0000-0000-00004E040000}"/>
    <cellStyle name="Percent 16 2" xfId="1057" xr:uid="{00000000-0005-0000-0000-00004F040000}"/>
    <cellStyle name="Percent 16 3" xfId="1058" xr:uid="{00000000-0005-0000-0000-000050040000}"/>
    <cellStyle name="Percent 17" xfId="1059" xr:uid="{00000000-0005-0000-0000-000051040000}"/>
    <cellStyle name="Percent 17 2" xfId="1060" xr:uid="{00000000-0005-0000-0000-000052040000}"/>
    <cellStyle name="Percent 18" xfId="1061" xr:uid="{00000000-0005-0000-0000-000053040000}"/>
    <cellStyle name="Percent 18 2" xfId="1062" xr:uid="{00000000-0005-0000-0000-000054040000}"/>
    <cellStyle name="Percent 19" xfId="1063" xr:uid="{00000000-0005-0000-0000-000055040000}"/>
    <cellStyle name="Percent 19 2" xfId="1064" xr:uid="{00000000-0005-0000-0000-000056040000}"/>
    <cellStyle name="Percent 19 3" xfId="1065" xr:uid="{00000000-0005-0000-0000-000057040000}"/>
    <cellStyle name="Percent 2" xfId="1066" xr:uid="{00000000-0005-0000-0000-000058040000}"/>
    <cellStyle name="Percent 2 2" xfId="1067" xr:uid="{00000000-0005-0000-0000-000059040000}"/>
    <cellStyle name="Percent 2 2 2" xfId="1068" xr:uid="{00000000-0005-0000-0000-00005A040000}"/>
    <cellStyle name="Percent 2 2 3" xfId="1069" xr:uid="{00000000-0005-0000-0000-00005B040000}"/>
    <cellStyle name="Percent 2 3" xfId="1070" xr:uid="{00000000-0005-0000-0000-00005C040000}"/>
    <cellStyle name="Percent 2 3 2" xfId="1071" xr:uid="{00000000-0005-0000-0000-00005D040000}"/>
    <cellStyle name="Percent 2 4" xfId="1072" xr:uid="{00000000-0005-0000-0000-00005E040000}"/>
    <cellStyle name="Percent 2 5" xfId="1073" xr:uid="{00000000-0005-0000-0000-00005F040000}"/>
    <cellStyle name="Percent 2 6" xfId="1074" xr:uid="{00000000-0005-0000-0000-000060040000}"/>
    <cellStyle name="Percent 2 7" xfId="1075" xr:uid="{00000000-0005-0000-0000-000061040000}"/>
    <cellStyle name="Percent 2 7 2" xfId="1076" xr:uid="{00000000-0005-0000-0000-000062040000}"/>
    <cellStyle name="Percent 20" xfId="1077" xr:uid="{00000000-0005-0000-0000-000063040000}"/>
    <cellStyle name="Percent 20 2" xfId="1078" xr:uid="{00000000-0005-0000-0000-000064040000}"/>
    <cellStyle name="Percent 21" xfId="1079" xr:uid="{00000000-0005-0000-0000-000065040000}"/>
    <cellStyle name="Percent 21 2" xfId="1080" xr:uid="{00000000-0005-0000-0000-000066040000}"/>
    <cellStyle name="Percent 22" xfId="1081" xr:uid="{00000000-0005-0000-0000-000067040000}"/>
    <cellStyle name="Percent 22 2" xfId="1082" xr:uid="{00000000-0005-0000-0000-000068040000}"/>
    <cellStyle name="Percent 22 3" xfId="1083" xr:uid="{00000000-0005-0000-0000-000069040000}"/>
    <cellStyle name="Percent 23" xfId="1084" xr:uid="{00000000-0005-0000-0000-00006A040000}"/>
    <cellStyle name="Percent 23 2" xfId="1085" xr:uid="{00000000-0005-0000-0000-00006B040000}"/>
    <cellStyle name="Percent 24" xfId="1086" xr:uid="{00000000-0005-0000-0000-00006C040000}"/>
    <cellStyle name="Percent 24 2" xfId="1087" xr:uid="{00000000-0005-0000-0000-00006D040000}"/>
    <cellStyle name="Percent 25" xfId="1088" xr:uid="{00000000-0005-0000-0000-00006E040000}"/>
    <cellStyle name="Percent 25 2" xfId="1089" xr:uid="{00000000-0005-0000-0000-00006F040000}"/>
    <cellStyle name="Percent 26" xfId="1090" xr:uid="{00000000-0005-0000-0000-000070040000}"/>
    <cellStyle name="Percent 26 2" xfId="1091" xr:uid="{00000000-0005-0000-0000-000071040000}"/>
    <cellStyle name="Percent 27" xfId="1092" xr:uid="{00000000-0005-0000-0000-000072040000}"/>
    <cellStyle name="Percent 27 2" xfId="1093" xr:uid="{00000000-0005-0000-0000-000073040000}"/>
    <cellStyle name="Percent 28" xfId="1094" xr:uid="{00000000-0005-0000-0000-000074040000}"/>
    <cellStyle name="Percent 28 2" xfId="1095" xr:uid="{00000000-0005-0000-0000-000075040000}"/>
    <cellStyle name="Percent 29" xfId="1096" xr:uid="{00000000-0005-0000-0000-000076040000}"/>
    <cellStyle name="Percent 29 2" xfId="1097" xr:uid="{00000000-0005-0000-0000-000077040000}"/>
    <cellStyle name="Percent 3" xfId="1098" xr:uid="{00000000-0005-0000-0000-000078040000}"/>
    <cellStyle name="Percent 3 2" xfId="1099" xr:uid="{00000000-0005-0000-0000-000079040000}"/>
    <cellStyle name="Percent 3 2 2" xfId="1100" xr:uid="{00000000-0005-0000-0000-00007A040000}"/>
    <cellStyle name="Percent 3 2 3" xfId="1101" xr:uid="{00000000-0005-0000-0000-00007B040000}"/>
    <cellStyle name="Percent 3 2 4" xfId="1102" xr:uid="{00000000-0005-0000-0000-00007C040000}"/>
    <cellStyle name="Percent 3 2 5" xfId="1103" xr:uid="{00000000-0005-0000-0000-00007D040000}"/>
    <cellStyle name="Percent 3 3" xfId="1104" xr:uid="{00000000-0005-0000-0000-00007E040000}"/>
    <cellStyle name="Percent 3 4" xfId="1105" xr:uid="{00000000-0005-0000-0000-00007F040000}"/>
    <cellStyle name="Percent 3 5" xfId="1106" xr:uid="{00000000-0005-0000-0000-000080040000}"/>
    <cellStyle name="Percent 3 5 2" xfId="1107" xr:uid="{00000000-0005-0000-0000-000081040000}"/>
    <cellStyle name="Percent 3 6" xfId="1108" xr:uid="{00000000-0005-0000-0000-000082040000}"/>
    <cellStyle name="Percent 30" xfId="1109" xr:uid="{00000000-0005-0000-0000-000083040000}"/>
    <cellStyle name="Percent 30 2" xfId="1110" xr:uid="{00000000-0005-0000-0000-000084040000}"/>
    <cellStyle name="Percent 30 3" xfId="1111" xr:uid="{00000000-0005-0000-0000-000085040000}"/>
    <cellStyle name="Percent 31" xfId="1112" xr:uid="{00000000-0005-0000-0000-000086040000}"/>
    <cellStyle name="Percent 31 2" xfId="1113" xr:uid="{00000000-0005-0000-0000-000087040000}"/>
    <cellStyle name="Percent 32" xfId="1114" xr:uid="{00000000-0005-0000-0000-000088040000}"/>
    <cellStyle name="Percent 32 2" xfId="1115" xr:uid="{00000000-0005-0000-0000-000089040000}"/>
    <cellStyle name="Percent 32 3" xfId="1116" xr:uid="{00000000-0005-0000-0000-00008A040000}"/>
    <cellStyle name="Percent 33" xfId="1117" xr:uid="{00000000-0005-0000-0000-00008B040000}"/>
    <cellStyle name="Percent 33 2" xfId="1118" xr:uid="{00000000-0005-0000-0000-00008C040000}"/>
    <cellStyle name="Percent 34" xfId="1119" xr:uid="{00000000-0005-0000-0000-00008D040000}"/>
    <cellStyle name="Percent 34 2" xfId="1120" xr:uid="{00000000-0005-0000-0000-00008E040000}"/>
    <cellStyle name="Percent 35" xfId="1121" xr:uid="{00000000-0005-0000-0000-00008F040000}"/>
    <cellStyle name="Percent 35 2" xfId="1122" xr:uid="{00000000-0005-0000-0000-000090040000}"/>
    <cellStyle name="Percent 36" xfId="1123" xr:uid="{00000000-0005-0000-0000-000091040000}"/>
    <cellStyle name="Percent 36 2" xfId="1124" xr:uid="{00000000-0005-0000-0000-000092040000}"/>
    <cellStyle name="Percent 36 3" xfId="1281" xr:uid="{00000000-0005-0000-0000-000093040000}"/>
    <cellStyle name="Percent 37" xfId="1125" xr:uid="{00000000-0005-0000-0000-000094040000}"/>
    <cellStyle name="Percent 37 2" xfId="1126" xr:uid="{00000000-0005-0000-0000-000095040000}"/>
    <cellStyle name="Percent 38" xfId="1127" xr:uid="{00000000-0005-0000-0000-000096040000}"/>
    <cellStyle name="Percent 38 2" xfId="1128" xr:uid="{00000000-0005-0000-0000-000097040000}"/>
    <cellStyle name="Percent 39" xfId="1129" xr:uid="{00000000-0005-0000-0000-000098040000}"/>
    <cellStyle name="Percent 39 2" xfId="1130" xr:uid="{00000000-0005-0000-0000-000099040000}"/>
    <cellStyle name="Percent 4" xfId="1131" xr:uid="{00000000-0005-0000-0000-00009A040000}"/>
    <cellStyle name="Percent 4 2" xfId="1132" xr:uid="{00000000-0005-0000-0000-00009B040000}"/>
    <cellStyle name="Percent 4 2 2" xfId="1133" xr:uid="{00000000-0005-0000-0000-00009C040000}"/>
    <cellStyle name="Percent 4 2 3" xfId="1134" xr:uid="{00000000-0005-0000-0000-00009D040000}"/>
    <cellStyle name="Percent 4 2 4" xfId="1135" xr:uid="{00000000-0005-0000-0000-00009E040000}"/>
    <cellStyle name="Percent 4 2 5" xfId="1136" xr:uid="{00000000-0005-0000-0000-00009F040000}"/>
    <cellStyle name="Percent 4 3" xfId="1137" xr:uid="{00000000-0005-0000-0000-0000A0040000}"/>
    <cellStyle name="Percent 4 3 2" xfId="1138" xr:uid="{00000000-0005-0000-0000-0000A1040000}"/>
    <cellStyle name="Percent 4 4" xfId="1139" xr:uid="{00000000-0005-0000-0000-0000A2040000}"/>
    <cellStyle name="Percent 4 5" xfId="1140" xr:uid="{00000000-0005-0000-0000-0000A3040000}"/>
    <cellStyle name="Percent 40" xfId="1141" xr:uid="{00000000-0005-0000-0000-0000A4040000}"/>
    <cellStyle name="Percent 40 2" xfId="1142" xr:uid="{00000000-0005-0000-0000-0000A5040000}"/>
    <cellStyle name="Percent 41" xfId="1143" xr:uid="{00000000-0005-0000-0000-0000A6040000}"/>
    <cellStyle name="Percent 41 2" xfId="1144" xr:uid="{00000000-0005-0000-0000-0000A7040000}"/>
    <cellStyle name="Percent 41 3" xfId="1145" xr:uid="{00000000-0005-0000-0000-0000A8040000}"/>
    <cellStyle name="Percent 42" xfId="1146" xr:uid="{00000000-0005-0000-0000-0000A9040000}"/>
    <cellStyle name="Percent 42 2" xfId="1147" xr:uid="{00000000-0005-0000-0000-0000AA040000}"/>
    <cellStyle name="Percent 43" xfId="1148" xr:uid="{00000000-0005-0000-0000-0000AB040000}"/>
    <cellStyle name="Percent 43 2" xfId="1149" xr:uid="{00000000-0005-0000-0000-0000AC040000}"/>
    <cellStyle name="Percent 44" xfId="1150" xr:uid="{00000000-0005-0000-0000-0000AD040000}"/>
    <cellStyle name="Percent 44 2" xfId="1151" xr:uid="{00000000-0005-0000-0000-0000AE040000}"/>
    <cellStyle name="Percent 45" xfId="1152" xr:uid="{00000000-0005-0000-0000-0000AF040000}"/>
    <cellStyle name="Percent 45 2" xfId="1153" xr:uid="{00000000-0005-0000-0000-0000B0040000}"/>
    <cellStyle name="Percent 46" xfId="1154" xr:uid="{00000000-0005-0000-0000-0000B1040000}"/>
    <cellStyle name="Percent 46 2" xfId="1155" xr:uid="{00000000-0005-0000-0000-0000B2040000}"/>
    <cellStyle name="Percent 47" xfId="1156" xr:uid="{00000000-0005-0000-0000-0000B3040000}"/>
    <cellStyle name="Percent 47 2" xfId="1157" xr:uid="{00000000-0005-0000-0000-0000B4040000}"/>
    <cellStyle name="Percent 48" xfId="1158" xr:uid="{00000000-0005-0000-0000-0000B5040000}"/>
    <cellStyle name="Percent 48 2" xfId="1159" xr:uid="{00000000-0005-0000-0000-0000B6040000}"/>
    <cellStyle name="Percent 49" xfId="1160" xr:uid="{00000000-0005-0000-0000-0000B7040000}"/>
    <cellStyle name="Percent 49 2" xfId="1161" xr:uid="{00000000-0005-0000-0000-0000B8040000}"/>
    <cellStyle name="Percent 5" xfId="1162" xr:uid="{00000000-0005-0000-0000-0000B9040000}"/>
    <cellStyle name="Percent 5 2" xfId="1163" xr:uid="{00000000-0005-0000-0000-0000BA040000}"/>
    <cellStyle name="Percent 5 3" xfId="1164" xr:uid="{00000000-0005-0000-0000-0000BB040000}"/>
    <cellStyle name="Percent 5 4" xfId="1165" xr:uid="{00000000-0005-0000-0000-0000BC040000}"/>
    <cellStyle name="Percent 5 5" xfId="1166" xr:uid="{00000000-0005-0000-0000-0000BD040000}"/>
    <cellStyle name="Percent 50" xfId="1167" xr:uid="{00000000-0005-0000-0000-0000BE040000}"/>
    <cellStyle name="Percent 50 2" xfId="1168" xr:uid="{00000000-0005-0000-0000-0000BF040000}"/>
    <cellStyle name="Percent 51" xfId="1169" xr:uid="{00000000-0005-0000-0000-0000C0040000}"/>
    <cellStyle name="Percent 51 2" xfId="1170" xr:uid="{00000000-0005-0000-0000-0000C1040000}"/>
    <cellStyle name="Percent 52" xfId="1171" xr:uid="{00000000-0005-0000-0000-0000C2040000}"/>
    <cellStyle name="Percent 53" xfId="1172" xr:uid="{00000000-0005-0000-0000-0000C3040000}"/>
    <cellStyle name="Percent 54" xfId="1027" xr:uid="{00000000-0005-0000-0000-0000C4040000}"/>
    <cellStyle name="Percent 55" xfId="1290" xr:uid="{00000000-0005-0000-0000-00001A050000}"/>
    <cellStyle name="Percent 6" xfId="1173" xr:uid="{00000000-0005-0000-0000-0000C5040000}"/>
    <cellStyle name="Percent 6 2" xfId="1174" xr:uid="{00000000-0005-0000-0000-0000C6040000}"/>
    <cellStyle name="Percent 6 3" xfId="1175" xr:uid="{00000000-0005-0000-0000-0000C7040000}"/>
    <cellStyle name="Percent 6 4" xfId="1176" xr:uid="{00000000-0005-0000-0000-0000C8040000}"/>
    <cellStyle name="Percent 6 5" xfId="1177" xr:uid="{00000000-0005-0000-0000-0000C9040000}"/>
    <cellStyle name="Percent 7" xfId="1178" xr:uid="{00000000-0005-0000-0000-0000CA040000}"/>
    <cellStyle name="Percent 7 2" xfId="1179" xr:uid="{00000000-0005-0000-0000-0000CB040000}"/>
    <cellStyle name="Percent 7 3" xfId="1180" xr:uid="{00000000-0005-0000-0000-0000CC040000}"/>
    <cellStyle name="Percent 7 4" xfId="1181" xr:uid="{00000000-0005-0000-0000-0000CD040000}"/>
    <cellStyle name="Percent 7 5" xfId="1182" xr:uid="{00000000-0005-0000-0000-0000CE040000}"/>
    <cellStyle name="Percent 8" xfId="1183" xr:uid="{00000000-0005-0000-0000-0000CF040000}"/>
    <cellStyle name="Percent 8 2" xfId="1184" xr:uid="{00000000-0005-0000-0000-0000D0040000}"/>
    <cellStyle name="Percent 8 3" xfId="1185" xr:uid="{00000000-0005-0000-0000-0000D1040000}"/>
    <cellStyle name="Percent 8 4" xfId="1186" xr:uid="{00000000-0005-0000-0000-0000D2040000}"/>
    <cellStyle name="Percent 8 5" xfId="1187" xr:uid="{00000000-0005-0000-0000-0000D3040000}"/>
    <cellStyle name="Percent 8 6" xfId="1188" xr:uid="{00000000-0005-0000-0000-0000D4040000}"/>
    <cellStyle name="Percent 9" xfId="1189" xr:uid="{00000000-0005-0000-0000-0000D5040000}"/>
    <cellStyle name="Percent 9 2" xfId="1190" xr:uid="{00000000-0005-0000-0000-0000D6040000}"/>
    <cellStyle name="Percent 9 2 2" xfId="1191" xr:uid="{00000000-0005-0000-0000-0000D7040000}"/>
    <cellStyle name="Percent 9 3" xfId="1192" xr:uid="{00000000-0005-0000-0000-0000D8040000}"/>
    <cellStyle name="Percent 9 4" xfId="1193" xr:uid="{00000000-0005-0000-0000-0000D9040000}"/>
    <cellStyle name="Percent 9 5" xfId="1194" xr:uid="{00000000-0005-0000-0000-0000DA040000}"/>
    <cellStyle name="Percent 9 6" xfId="1195" xr:uid="{00000000-0005-0000-0000-0000DB040000}"/>
    <cellStyle name="Percent 9 7" xfId="1196" xr:uid="{00000000-0005-0000-0000-0000DC040000}"/>
    <cellStyle name="result" xfId="1197" xr:uid="{00000000-0005-0000-0000-0000DD040000}"/>
    <cellStyle name="SmallTableTitle" xfId="1198" xr:uid="{00000000-0005-0000-0000-0000DE040000}"/>
    <cellStyle name="spreads" xfId="1199" xr:uid="{00000000-0005-0000-0000-0000DF040000}"/>
    <cellStyle name="Style 1" xfId="1200" xr:uid="{00000000-0005-0000-0000-0000E0040000}"/>
    <cellStyle name="Style 1 2" xfId="1201" xr:uid="{00000000-0005-0000-0000-0000E1040000}"/>
    <cellStyle name="swaptn" xfId="1202" xr:uid="{00000000-0005-0000-0000-0000E2040000}"/>
    <cellStyle name="Table" xfId="1203" xr:uid="{00000000-0005-0000-0000-0000E3040000}"/>
    <cellStyle name="Table4" xfId="1204" xr:uid="{00000000-0005-0000-0000-0000E4040000}"/>
    <cellStyle name="TableBlue" xfId="1205" xr:uid="{00000000-0005-0000-0000-0000E5040000}"/>
    <cellStyle name="TableBlue4" xfId="1206" xr:uid="{00000000-0005-0000-0000-0000E6040000}"/>
    <cellStyle name="TableDataColumn" xfId="1207" xr:uid="{00000000-0005-0000-0000-0000E7040000}"/>
    <cellStyle name="TableDataRow" xfId="1208" xr:uid="{00000000-0005-0000-0000-0000E8040000}"/>
    <cellStyle name="TableLabelColumn" xfId="1209" xr:uid="{00000000-0005-0000-0000-0000E9040000}"/>
    <cellStyle name="TableLabelRow" xfId="1210" xr:uid="{00000000-0005-0000-0000-0000EA040000}"/>
    <cellStyle name="TableLabelTop" xfId="1211" xr:uid="{00000000-0005-0000-0000-0000EB040000}"/>
    <cellStyle name="TableLightBlue" xfId="1212" xr:uid="{00000000-0005-0000-0000-0000EC040000}"/>
    <cellStyle name="TableLightBlue4" xfId="1213" xr:uid="{00000000-0005-0000-0000-0000ED040000}"/>
    <cellStyle name="TablePink" xfId="1214" xr:uid="{00000000-0005-0000-0000-0000EE040000}"/>
    <cellStyle name="TablePink4" xfId="1215" xr:uid="{00000000-0005-0000-0000-0000EF040000}"/>
    <cellStyle name="TableRed" xfId="1216" xr:uid="{00000000-0005-0000-0000-0000F0040000}"/>
    <cellStyle name="TableRed4" xfId="1217" xr:uid="{00000000-0005-0000-0000-0000F1040000}"/>
    <cellStyle name="TableTenor" xfId="1218" xr:uid="{00000000-0005-0000-0000-0000F2040000}"/>
    <cellStyle name="TableYellow" xfId="1219" xr:uid="{00000000-0005-0000-0000-0000F3040000}"/>
    <cellStyle name="TableYellow4" xfId="1220" xr:uid="{00000000-0005-0000-0000-0000F4040000}"/>
    <cellStyle name="TabStyle1" xfId="1221" xr:uid="{00000000-0005-0000-0000-0000F5040000}"/>
    <cellStyle name="Title 2" xfId="1223" xr:uid="{00000000-0005-0000-0000-0000F6040000}"/>
    <cellStyle name="Title 3" xfId="1224" xr:uid="{00000000-0005-0000-0000-0000F7040000}"/>
    <cellStyle name="Title 4" xfId="1222" xr:uid="{00000000-0005-0000-0000-0000F8040000}"/>
    <cellStyle name="Total" xfId="25" builtinId="25" customBuiltin="1"/>
    <cellStyle name="Total 2" xfId="1225" xr:uid="{00000000-0005-0000-0000-0000FA040000}"/>
    <cellStyle name="Total 2 2" xfId="1226" xr:uid="{00000000-0005-0000-0000-0000FB040000}"/>
    <cellStyle name="Total 3" xfId="1227" xr:uid="{00000000-0005-0000-0000-0000FC040000}"/>
    <cellStyle name="Total 3 2" xfId="1228" xr:uid="{00000000-0005-0000-0000-0000FD040000}"/>
    <cellStyle name="Warning Text" xfId="23" builtinId="11" customBuiltin="1"/>
    <cellStyle name="Warning Text 2" xfId="1230" xr:uid="{00000000-0005-0000-0000-0000FF040000}"/>
    <cellStyle name="Warning Text 2 2" xfId="1231" xr:uid="{00000000-0005-0000-0000-000000050000}"/>
    <cellStyle name="Warning Text 3" xfId="1232" xr:uid="{00000000-0005-0000-0000-000001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pb/Documents/LME_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43357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dingFx"/>
      <sheetName val="MetalCurves"/>
      <sheetName val="SwapPricer"/>
      <sheetName val="OptionPricer"/>
      <sheetName val="Sheet1"/>
    </sheetNames>
    <sheetDataSet>
      <sheetData sheetId="0"/>
      <sheetData sheetId="1">
        <row r="1">
          <cell r="B1">
            <v>43370</v>
          </cell>
        </row>
        <row r="2">
          <cell r="B2">
            <v>43461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6"/>
  <sheetViews>
    <sheetView tabSelected="1" workbookViewId="0">
      <selection activeCell="D29" sqref="D29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</cols>
  <sheetData>
    <row r="1" spans="1:15" x14ac:dyDescent="0.25">
      <c r="A1" s="8" t="s">
        <v>4</v>
      </c>
      <c r="B1">
        <v>14.358599999999999</v>
      </c>
      <c r="C1" s="1">
        <f>_xll.QDates_SpotDate(ValDate,"2b","JHB","NYC")</f>
        <v>43377</v>
      </c>
      <c r="M1" t="s">
        <v>33</v>
      </c>
    </row>
    <row r="2" spans="1:15" x14ac:dyDescent="0.25">
      <c r="A2" s="8" t="s">
        <v>5</v>
      </c>
      <c r="B2">
        <v>137</v>
      </c>
      <c r="C2">
        <f t="shared" ref="C2:C13" si="0">$B$1+B2/10000</f>
        <v>14.372299999999999</v>
      </c>
      <c r="D2" s="1">
        <f>_xll.QDates_AddPeriod($C$1,A2,IF(RIGHT(A2,1)="w","F","MF"),"NYC+JHB")</f>
        <v>43384</v>
      </c>
      <c r="E2" t="str">
        <f>_xll.QIns_CreateFxForward("USDZAR_"&amp;A2,D2,"USD","ZAR",1,C2,"[USD.LIBOR.3M]","ZAR.DISC.[USD.LIBOR.3M]")</f>
        <v>USDZAR_1w¬8</v>
      </c>
      <c r="G2" t="str">
        <f>_xll.QDates_FuturesGetFrontMonth(ValDate,"ED")</f>
        <v>EDZ8</v>
      </c>
      <c r="H2">
        <v>97.344999999999999</v>
      </c>
      <c r="I2" t="str">
        <f>_xll.QIns_CreateSTIRFromCode(G2,ValDate,G2,$B$21,H2,1,0,"[USD.LIBOR.3M]","[USD.LIBOR.3M]")</f>
        <v>EDZ8¬8</v>
      </c>
      <c r="K2" t="s">
        <v>5</v>
      </c>
      <c r="L2" s="1">
        <f>_xll.QDates_AddPeriod(ValDate,K2,IF(RIGHT(K2,1)="w","F","MF"),"NYC+JHB")</f>
        <v>43382</v>
      </c>
      <c r="M2" s="9">
        <v>0.164075</v>
      </c>
      <c r="O2" t="str">
        <f>_xll.QVol_CreateGridVolSurface("USD/ZAR","USD/ZAR",ValDate,0.5,L2:L14,M2:M14,"ForwardDelta","Linear","LinearInVariance","ACT365F",K2:K14)</f>
        <v>USD/ZAR¬4</v>
      </c>
    </row>
    <row r="3" spans="1:15" x14ac:dyDescent="0.25">
      <c r="A3" s="8" t="s">
        <v>6</v>
      </c>
      <c r="B3">
        <v>271</v>
      </c>
      <c r="C3">
        <f t="shared" si="0"/>
        <v>14.3857</v>
      </c>
      <c r="D3" s="1">
        <f>_xll.QDates_AddPeriod($C$1,A3,IF(RIGHT(A3,1)="w","F","MF"),"NYC+JHB")</f>
        <v>43391</v>
      </c>
      <c r="E3" t="str">
        <f>_xll.QIns_CreateFxForward("USDZAR_"&amp;A3,D3,"USD","ZAR",1,C3,"[USD.LIBOR.3M]","ZAR.DISC.[USD.LIBOR.3M]")</f>
        <v>USDZAR_2w¬8</v>
      </c>
      <c r="G3" t="str">
        <f>_xll.QDates_FuturesNextCode(G2)</f>
        <v>EDH9</v>
      </c>
      <c r="H3">
        <v>97.16</v>
      </c>
      <c r="I3" t="str">
        <f>_xll.QIns_CreateSTIRFromCode(G3,ValDate,G3,$B$21,H3,1,0,"[USD.LIBOR.3M]","[USD.LIBOR.3M]")</f>
        <v>EDH9¬7</v>
      </c>
      <c r="K3" t="s">
        <v>6</v>
      </c>
      <c r="L3" s="1">
        <f>_xll.QDates_AddPeriod(ValDate,K3,IF(RIGHT(K3,1)="w","F","MF"),"NYC+JHB")</f>
        <v>43389</v>
      </c>
      <c r="M3" s="9">
        <v>0.17015</v>
      </c>
    </row>
    <row r="4" spans="1:15" x14ac:dyDescent="0.25">
      <c r="A4" s="8" t="s">
        <v>7</v>
      </c>
      <c r="B4">
        <v>611</v>
      </c>
      <c r="C4">
        <f t="shared" si="0"/>
        <v>14.419699999999999</v>
      </c>
      <c r="D4" s="1">
        <f>_xll.QDates_AddPeriod($C$1,A4,IF(RIGHT(A4,1)="w","F","MF"),"NYC+JHB")</f>
        <v>43409</v>
      </c>
      <c r="E4" t="str">
        <f>_xll.QIns_CreateFxForward("USDZAR_"&amp;A4,D4,"USD","ZAR",1,C4,"[USD.LIBOR.3M]","ZAR.DISC.[USD.LIBOR.3M]")</f>
        <v>USDZAR_1m¬8</v>
      </c>
      <c r="G4" t="str">
        <f>_xll.QDates_FuturesNextCode(G3)</f>
        <v>EDM9</v>
      </c>
      <c r="H4">
        <v>97.01</v>
      </c>
      <c r="I4" t="str">
        <f>_xll.QIns_CreateSTIRFromCode(G4,ValDate,G4,$B$21,H4,1,0,"[USD.LIBOR.3M]","[USD.LIBOR.3M]")</f>
        <v>EDM9¬7</v>
      </c>
      <c r="K4" t="s">
        <v>31</v>
      </c>
      <c r="L4" s="1">
        <f>_xll.QDates_AddPeriod(ValDate,K4,IF(RIGHT(K4,1)="w","F","MF"),"NYC+JHB")</f>
        <v>43396</v>
      </c>
      <c r="M4" s="9">
        <v>0.17309999999999998</v>
      </c>
    </row>
    <row r="5" spans="1:15" x14ac:dyDescent="0.25">
      <c r="A5" s="8" t="s">
        <v>8</v>
      </c>
      <c r="B5">
        <v>1157</v>
      </c>
      <c r="C5">
        <f t="shared" si="0"/>
        <v>14.474299999999999</v>
      </c>
      <c r="D5" s="1">
        <f>_xll.QDates_AddPeriod($C$1,A5,IF(RIGHT(A5,1)="w","F","MF"),"NYC+JHB")</f>
        <v>43438</v>
      </c>
      <c r="E5" t="str">
        <f>_xll.QIns_CreateFxForward("USDZAR_"&amp;A5,D5,"USD","ZAR",1,C5,"[USD.LIBOR.3M]","ZAR.DISC.[USD.LIBOR.3M]")</f>
        <v>USDZAR_2m¬8</v>
      </c>
      <c r="G5" t="str">
        <f>_xll.QDates_FuturesNextCode(G4)</f>
        <v>EDU9</v>
      </c>
      <c r="H5">
        <v>96.924999999999997</v>
      </c>
      <c r="I5" t="str">
        <f>_xll.QIns_CreateSTIRFromCode(G5,ValDate,G5,$B$21,H5,1,0,"[USD.LIBOR.3M]","[USD.LIBOR.3M]")</f>
        <v>EDU9¬7</v>
      </c>
      <c r="K5" t="s">
        <v>7</v>
      </c>
      <c r="L5" s="1">
        <f>_xll.QDates_AddPeriod(ValDate,K5,IF(RIGHT(K5,1)="w","F","MF"),"NYC+JHB")</f>
        <v>43406</v>
      </c>
      <c r="M5" s="9">
        <v>0.17679999999999998</v>
      </c>
    </row>
    <row r="6" spans="1:15" x14ac:dyDescent="0.25">
      <c r="A6" s="8" t="s">
        <v>3</v>
      </c>
      <c r="B6">
        <v>1754</v>
      </c>
      <c r="C6">
        <f t="shared" si="0"/>
        <v>14.533999999999999</v>
      </c>
      <c r="D6" s="1">
        <f>_xll.QDates_AddPeriod($C$1,A6,IF(RIGHT(A6,1)="w","F","MF"),"NYC+JHB")</f>
        <v>43469</v>
      </c>
      <c r="E6" t="str">
        <f>_xll.QIns_CreateFxForward("USDZAR_"&amp;A6,D6,"USD","ZAR",1,C6,"[USD.LIBOR.3M]","ZAR.DISC.[USD.LIBOR.3M]")</f>
        <v>USDZAR_3m¬7</v>
      </c>
      <c r="G6" t="str">
        <f>_xll.QDates_FuturesNextCode(G5)</f>
        <v>EDZ9</v>
      </c>
      <c r="H6">
        <v>96.865000000000009</v>
      </c>
      <c r="I6" t="str">
        <f>_xll.QIns_CreateSTIRFromCode(G6,ValDate,G6,$B$21,H6,1,0,"[USD.LIBOR.3M]","[USD.LIBOR.3M]")</f>
        <v>EDZ9¬7</v>
      </c>
      <c r="K6" t="s">
        <v>8</v>
      </c>
      <c r="L6" s="1">
        <f>_xll.QDates_AddPeriod(ValDate,K6,IF(RIGHT(K6,1)="w","F","MF"),"NYC+JHB")</f>
        <v>43437</v>
      </c>
      <c r="M6" s="9">
        <v>0.17657499999999998</v>
      </c>
    </row>
    <row r="7" spans="1:15" x14ac:dyDescent="0.25">
      <c r="A7" s="8" t="s">
        <v>9</v>
      </c>
      <c r="B7">
        <v>3454</v>
      </c>
      <c r="C7">
        <f t="shared" si="0"/>
        <v>14.703999999999999</v>
      </c>
      <c r="D7" s="1">
        <f>_xll.QDates_AddPeriod($C$1,A7,IF(RIGHT(A7,1)="w","F","MF"),"NYC+JHB")</f>
        <v>43559</v>
      </c>
      <c r="E7" t="str">
        <f>_xll.QIns_CreateFxForward("USDZAR_"&amp;A7,D7,"USD","ZAR",1,C7,"[USD.LIBOR.3M]","ZAR.DISC.[USD.LIBOR.3M]")</f>
        <v>USDZAR_6m¬8</v>
      </c>
      <c r="G7" t="str">
        <f>_xll.QDates_FuturesNextCode(G6)</f>
        <v>EDH0</v>
      </c>
      <c r="H7">
        <v>96.84</v>
      </c>
      <c r="I7" t="str">
        <f>_xll.QIns_CreateSTIRFromCode(G7,ValDate,G7,$B$21,H7,1,0,"[USD.LIBOR.3M]","[USD.LIBOR.3M]")</f>
        <v>EDH0¬7</v>
      </c>
      <c r="K7" t="s">
        <v>3</v>
      </c>
      <c r="L7" s="1">
        <f>_xll.QDates_AddPeriod(ValDate,K7,IF(RIGHT(K7,1)="w","F","MF"),"NYC+JHB")</f>
        <v>43467</v>
      </c>
      <c r="M7" s="9">
        <v>0.1739</v>
      </c>
    </row>
    <row r="8" spans="1:15" x14ac:dyDescent="0.25">
      <c r="A8" s="8" t="s">
        <v>10</v>
      </c>
      <c r="B8">
        <v>5189</v>
      </c>
      <c r="C8">
        <f t="shared" si="0"/>
        <v>14.8775</v>
      </c>
      <c r="D8" s="1">
        <f>_xll.QDates_AddPeriod($C$1,A8,IF(RIGHT(A8,1)="w","F","MF"),"NYC+JHB")</f>
        <v>43651</v>
      </c>
      <c r="E8" t="str">
        <f>_xll.QIns_CreateFxForward("USDZAR_"&amp;A8,D8,"USD","ZAR",1,C8,"[USD.LIBOR.3M]","ZAR.DISC.[USD.LIBOR.3M]")</f>
        <v>USDZAR_9m¬8</v>
      </c>
      <c r="G8" t="str">
        <f>_xll.QDates_FuturesNextCode(G7)</f>
        <v>EDM0</v>
      </c>
      <c r="H8">
        <v>96.835000000000008</v>
      </c>
      <c r="I8" t="str">
        <f>_xll.QIns_CreateSTIRFromCode(G8,ValDate,G8,$B$21,H8,1,0,"[USD.LIBOR.3M]","[USD.LIBOR.3M]")</f>
        <v>EDM0¬6</v>
      </c>
      <c r="K8" t="s">
        <v>9</v>
      </c>
      <c r="L8" s="1">
        <f>_xll.QDates_AddPeriod(ValDate,K8,IF(RIGHT(K8,1)="w","F","MF"),"NYC+JHB")</f>
        <v>43557</v>
      </c>
      <c r="M8" s="9">
        <v>0.17420000000000002</v>
      </c>
    </row>
    <row r="9" spans="1:15" x14ac:dyDescent="0.25">
      <c r="A9" s="8" t="s">
        <v>14</v>
      </c>
      <c r="B9">
        <v>6917</v>
      </c>
      <c r="C9">
        <f t="shared" si="0"/>
        <v>15.0503</v>
      </c>
      <c r="D9" s="1">
        <f>_xll.QDates_AddPeriod($C$1,A9,IF(RIGHT(A9,1)="w","F","MF"),"NYC+JHB")</f>
        <v>43742</v>
      </c>
      <c r="E9" t="str">
        <f>_xll.QIns_CreateFxForward("USDZAR_"&amp;A9,D9,"USD","ZAR",1,C9,"[USD.LIBOR.3M]","ZAR.DISC.[USD.LIBOR.3M]")</f>
        <v>USDZAR_12m¬8</v>
      </c>
      <c r="G9" t="str">
        <f>_xll.QDates_FuturesNextCode(G8)</f>
        <v>EDU0</v>
      </c>
      <c r="H9">
        <v>96.84</v>
      </c>
      <c r="I9" t="str">
        <f>_xll.QIns_CreateSTIRFromCode(G9,ValDate,G9,$B$21,H9,1,0,"[USD.LIBOR.3M]","[USD.LIBOR.3M]")</f>
        <v>EDU0¬6</v>
      </c>
      <c r="K9" t="s">
        <v>10</v>
      </c>
      <c r="L9" s="1">
        <f>_xll.QDates_AddPeriod(ValDate,K9,IF(RIGHT(K9,1)="w","F","MF"),"NYC+JHB")</f>
        <v>43648</v>
      </c>
      <c r="M9" s="9">
        <v>0.17515</v>
      </c>
    </row>
    <row r="10" spans="1:15" x14ac:dyDescent="0.25">
      <c r="A10" s="8" t="s">
        <v>11</v>
      </c>
      <c r="B10">
        <v>10771</v>
      </c>
      <c r="C10">
        <f t="shared" si="0"/>
        <v>15.435699999999999</v>
      </c>
      <c r="D10" s="1">
        <f>_xll.QDates_AddPeriod($C$1,A10,IF(RIGHT(A10,1)="w","F","MF"),"NYC+JHB")</f>
        <v>43927</v>
      </c>
      <c r="E10" t="str">
        <f>_xll.QIns_CreateFxForward("USDZAR_"&amp;A10,D10,"USD","ZAR",1,C10,"[USD.LIBOR.3M]","ZAR.DISC.[USD.LIBOR.3M]")</f>
        <v>USDZAR_18m¬8</v>
      </c>
      <c r="G10" t="str">
        <f>_xll.QDates_FuturesNextCode(G9)</f>
        <v>EDZ0</v>
      </c>
      <c r="H10">
        <v>96.835000000000008</v>
      </c>
      <c r="I10" t="str">
        <f>_xll.QIns_CreateSTIRFromCode(G10,ValDate,G10,$B$21,H10,1,0,"[USD.LIBOR.3M]","[USD.LIBOR.3M]")</f>
        <v>EDZ0¬6</v>
      </c>
      <c r="K10" t="s">
        <v>32</v>
      </c>
      <c r="L10" s="1">
        <f>_xll.QDates_AddPeriod(ValDate,K10,IF(RIGHT(K10,1)="w","F","MF"),"NYC+JHB")</f>
        <v>43740</v>
      </c>
      <c r="M10" s="9">
        <v>0.176675</v>
      </c>
    </row>
    <row r="11" spans="1:15" x14ac:dyDescent="0.25">
      <c r="A11" s="8" t="s">
        <v>12</v>
      </c>
      <c r="B11">
        <v>14580</v>
      </c>
      <c r="C11">
        <f t="shared" si="0"/>
        <v>15.816599999999999</v>
      </c>
      <c r="D11" s="1">
        <f>_xll.QDates_AddPeriod($C$1,A11,IF(RIGHT(A11,1)="w","F","MF"),"NYC+JHB")</f>
        <v>44109</v>
      </c>
      <c r="E11" t="str">
        <f>_xll.QIns_CreateFxForward("USDZAR_"&amp;A11,D11,"USD","ZAR",1,C11,"[USD.LIBOR.3M]","ZAR.DISC.[USD.LIBOR.3M]")</f>
        <v>USDZAR_2y¬8</v>
      </c>
      <c r="G11" t="str">
        <f>_xll.QDates_FuturesNextCode(G10)</f>
        <v>EDH1</v>
      </c>
      <c r="H11">
        <v>96.855000000000004</v>
      </c>
      <c r="I11" t="str">
        <f>_xll.QIns_CreateSTIRFromCode(G11,ValDate,G11,$B$21,H11,1,0,"[USD.LIBOR.3M]","[USD.LIBOR.3M]")</f>
        <v>EDH1¬5</v>
      </c>
      <c r="K11" t="s">
        <v>11</v>
      </c>
      <c r="L11" s="1">
        <f>_xll.QDates_AddPeriod(ValDate,K11,IF(RIGHT(K11,1)="w","F","MF"),"NYC+JHB")</f>
        <v>43923</v>
      </c>
      <c r="M11" s="9">
        <v>0.18062500000000001</v>
      </c>
    </row>
    <row r="12" spans="1:15" x14ac:dyDescent="0.25">
      <c r="A12" s="8" t="s">
        <v>13</v>
      </c>
      <c r="B12">
        <v>23266</v>
      </c>
      <c r="C12">
        <f t="shared" si="0"/>
        <v>16.685199999999998</v>
      </c>
      <c r="D12" s="1">
        <f>_xll.QDates_AddPeriod($C$1,A12,IF(RIGHT(A12,1)="w","F","MF"),"NYC+JHB")</f>
        <v>44473</v>
      </c>
      <c r="E12" t="str">
        <f>_xll.QIns_CreateFxForward("USDZAR_"&amp;A12,D12,"USD","ZAR",1,C12,"[USD.LIBOR.3M]","ZAR.DISC.[USD.LIBOR.3M]")</f>
        <v>USDZAR_3y¬8</v>
      </c>
      <c r="G12" t="str">
        <f>_xll.QDates_FuturesNextCode(G11)</f>
        <v>EDM1</v>
      </c>
      <c r="H12">
        <v>96.87</v>
      </c>
      <c r="I12" t="str">
        <f>_xll.QIns_CreateSTIRFromCode(G12,ValDate,G12,$B$21,H12,1,0,"[USD.LIBOR.3M]","[USD.LIBOR.3M]")</f>
        <v>EDM1¬5</v>
      </c>
      <c r="K12" t="s">
        <v>12</v>
      </c>
      <c r="L12" s="1">
        <f>_xll.QDates_AddPeriod(ValDate,K12,IF(RIGHT(K12,1)="w","F","MF"),"NYC+JHB")</f>
        <v>44106</v>
      </c>
      <c r="M12" s="9">
        <v>0.18202499999999999</v>
      </c>
    </row>
    <row r="13" spans="1:15" x14ac:dyDescent="0.25">
      <c r="A13" s="8" t="s">
        <v>15</v>
      </c>
      <c r="B13">
        <v>43675</v>
      </c>
      <c r="C13">
        <f t="shared" si="0"/>
        <v>18.726099999999999</v>
      </c>
      <c r="D13" s="1">
        <f>_xll.QDates_AddPeriod($C$1,A13,IF(RIGHT(A13,1)="w","F","MF"),"NYC+JHB")</f>
        <v>45203</v>
      </c>
      <c r="E13" t="str">
        <f>_xll.QIns_CreateFxForward("USDZAR_"&amp;A13,D13,"USD","ZAR",1,C13,"[USD.LIBOR.3M]","ZAR.DISC.[USD.LIBOR.3M]")</f>
        <v>USDZAR_5y¬8</v>
      </c>
      <c r="G13" t="str">
        <f>_xll.QDates_FuturesNextCode(G12)</f>
        <v>EDU1</v>
      </c>
      <c r="H13">
        <v>96.88</v>
      </c>
      <c r="I13" t="str">
        <f>_xll.QIns_CreateSTIRFromCode(G13,ValDate,G13,$B$21,H13,1,0,"[USD.LIBOR.3M]","[USD.LIBOR.3M]")</f>
        <v>EDU1¬4</v>
      </c>
      <c r="K13" t="s">
        <v>13</v>
      </c>
      <c r="L13" s="1">
        <f>_xll.QDates_AddPeriod(ValDate,K13,IF(RIGHT(K13,1)="w","F","MF"),"NYC+JHB")</f>
        <v>44473</v>
      </c>
      <c r="M13" s="9">
        <v>0.1913</v>
      </c>
    </row>
    <row r="14" spans="1:15" x14ac:dyDescent="0.25">
      <c r="G14" t="str">
        <f>_xll.QDates_FuturesNextCode(G13)</f>
        <v>EDZ1</v>
      </c>
      <c r="H14">
        <v>96.875</v>
      </c>
      <c r="I14" t="str">
        <f>_xll.QIns_CreateSTIRFromCode(G14,ValDate,G14,$B$21,H14,1,0,"[USD.LIBOR.3M]","[USD.LIBOR.3M]")</f>
        <v>EDZ1¬4</v>
      </c>
      <c r="K14" t="s">
        <v>15</v>
      </c>
      <c r="L14" s="1">
        <f>_xll.QDates_AddPeriod(ValDate,K14,IF(RIGHT(K14,1)="w","F","MF"),"NYC+JHB")</f>
        <v>45201</v>
      </c>
      <c r="M14" s="9">
        <v>0.20309999999999997</v>
      </c>
    </row>
    <row r="15" spans="1:15" x14ac:dyDescent="0.25">
      <c r="A15" t="s">
        <v>16</v>
      </c>
      <c r="B15" t="str">
        <f>_xll.QIns_CreateFxPair("USDZAR","USD","ZAR","NYC+JHB","2b")</f>
        <v>USDZAR¬8</v>
      </c>
      <c r="G15" t="str">
        <f>_xll.QDates_FuturesNextCode(G14)</f>
        <v>EDH2</v>
      </c>
      <c r="H15">
        <v>96.885000000000005</v>
      </c>
      <c r="I15" t="str">
        <f>_xll.QIns_CreateSTIRFromCode(G15,ValDate,G15,$B$21,H15,1,0,"[USD.LIBOR.3M]","[USD.LIBOR.3M]")</f>
        <v>EDH2¬4</v>
      </c>
    </row>
    <row r="16" spans="1:15" x14ac:dyDescent="0.25">
      <c r="B16" t="str">
        <f>_xll.QIns_CreateFxPair("ZARUSD","ZAR","USD","NYC+JHB","2b")</f>
        <v>ZARUSD¬8</v>
      </c>
      <c r="D16" t="s">
        <v>18</v>
      </c>
      <c r="E16">
        <f>B1</f>
        <v>14.358599999999999</v>
      </c>
      <c r="G16" t="str">
        <f>_xll.QDates_FuturesNextCode(G15)</f>
        <v>EDM2</v>
      </c>
      <c r="H16">
        <v>96.885000000000005</v>
      </c>
      <c r="I16" t="str">
        <f>_xll.QIns_CreateSTIRFromCode(G16,ValDate,G16,$B$21,H16,1,0,"[USD.LIBOR.3M]","[USD.LIBOR.3M]")</f>
        <v>EDM2¬4</v>
      </c>
    </row>
    <row r="17" spans="1:9" x14ac:dyDescent="0.25">
      <c r="A17" t="s">
        <v>17</v>
      </c>
      <c r="B17" t="str">
        <f>_xll.QIns_CreateFxMatrix(A17,"USD",ValDate,D16:E16,B15:B16,D18:E19)</f>
        <v>FxMarix¬8</v>
      </c>
      <c r="G17" t="str">
        <f>_xll.QDates_FuturesNextCode(G16)</f>
        <v>EDU2</v>
      </c>
      <c r="H17">
        <v>96.88</v>
      </c>
      <c r="I17" t="str">
        <f>_xll.QIns_CreateSTIRFromCode(G17,ValDate,G17,$B$21,H17,1,0,"[USD.LIBOR.3M]","[USD.LIBOR.3M]")</f>
        <v>EDU2¬4</v>
      </c>
    </row>
    <row r="18" spans="1:9" x14ac:dyDescent="0.25">
      <c r="D18" t="s">
        <v>18</v>
      </c>
      <c r="E18" t="s">
        <v>21</v>
      </c>
      <c r="G18" t="str">
        <f>_xll.QDates_FuturesNextCode(G17)</f>
        <v>EDZ2</v>
      </c>
      <c r="H18">
        <v>96.87</v>
      </c>
      <c r="I18" t="str">
        <f>_xll.QIns_CreateSTIRFromCode(G18,ValDate,G18,$B$21,H18,1,0,"[USD.LIBOR.3M]","[USD.LIBOR.3M]")</f>
        <v>EDZ2¬4</v>
      </c>
    </row>
    <row r="19" spans="1:9" x14ac:dyDescent="0.25">
      <c r="D19" t="s">
        <v>19</v>
      </c>
      <c r="E19" t="s">
        <v>49</v>
      </c>
      <c r="G19" t="str">
        <f>_xll.QDates_FuturesNextCode(G18)</f>
        <v>EDH3</v>
      </c>
      <c r="H19">
        <v>96.865000000000009</v>
      </c>
      <c r="I19" t="str">
        <f>_xll.QIns_CreateSTIRFromCode(G19,ValDate,G19,$B$21,H19,1,0,"[USD.LIBOR.3M]","[USD.LIBOR.3M]")</f>
        <v>EDH3¬4</v>
      </c>
    </row>
    <row r="20" spans="1:9" x14ac:dyDescent="0.25">
      <c r="G20" t="str">
        <f>_xll.QDates_FuturesNextCode(G19)</f>
        <v>EDM3</v>
      </c>
      <c r="H20">
        <v>96.855000000000004</v>
      </c>
      <c r="I20" t="str">
        <f>_xll.QIns_CreateSTIRFromCode(G20,ValDate,G20,$B$21,H20,1,0,"[USD.LIBOR.3M]","[USD.LIBOR.3M]")</f>
        <v>EDM3¬4</v>
      </c>
    </row>
    <row r="21" spans="1:9" x14ac:dyDescent="0.25">
      <c r="A21" t="s">
        <v>20</v>
      </c>
      <c r="B21" t="str">
        <f>_xll.QIns_CreateRateIndex("USD.LIBOR.3M","USD","3m","ACT360","ACT360","3m","NYC+LON","2b","MF")</f>
        <v>USD.LIBOR.3M¬8</v>
      </c>
      <c r="G21" t="str">
        <f>_xll.QDates_FuturesNextCode(G20)</f>
        <v>EDU3</v>
      </c>
      <c r="H21">
        <v>96.84</v>
      </c>
      <c r="I21" t="str">
        <f>_xll.QIns_CreateSTIRFromCode(G21,ValDate,G21,$B$21,H21,1,0,"[USD.LIBOR.3M]","[USD.LIBOR.3M]")</f>
        <v>EDU3¬4</v>
      </c>
    </row>
    <row r="22" spans="1:9" x14ac:dyDescent="0.25">
      <c r="G22" t="str">
        <f>_xll.QDates_FuturesNextCode(G21)</f>
        <v>EDZ3</v>
      </c>
      <c r="H22">
        <v>96.814999999999998</v>
      </c>
      <c r="I22" t="str">
        <f>_xll.QIns_CreateSTIRFromCode(G22,ValDate,G22,$B$21,H22,1,0,"[USD.LIBOR.3M]","[USD.LIBOR.3M]")</f>
        <v>EDZ3¬4</v>
      </c>
    </row>
    <row r="23" spans="1:9" x14ac:dyDescent="0.25">
      <c r="A23" t="s">
        <v>25</v>
      </c>
      <c r="B23" t="str">
        <f>_xll.QIns_CreateFundingInstrumentCollection(A23,E2:E13)</f>
        <v>FICA¬6</v>
      </c>
      <c r="G23" t="str">
        <f>_xll.QDates_FuturesNextCode(G22)</f>
        <v>EDH4</v>
      </c>
      <c r="H23">
        <v>96.8</v>
      </c>
      <c r="I23" t="str">
        <f>_xll.QIns_CreateSTIRFromCode(G23,ValDate,G23,$B$21,H23,1,0,"[USD.LIBOR.3M]","[USD.LIBOR.3M]")</f>
        <v>EDH4¬4</v>
      </c>
    </row>
    <row r="24" spans="1:9" x14ac:dyDescent="0.25">
      <c r="A24" t="s">
        <v>26</v>
      </c>
      <c r="B24" t="str">
        <f>_xll.QIns_CreateFundingInstrumentCollection(A24,I2:I23)</f>
        <v>FICB¬4</v>
      </c>
    </row>
    <row r="25" spans="1:9" x14ac:dyDescent="0.25">
      <c r="A25" t="s">
        <v>27</v>
      </c>
      <c r="B25" t="str">
        <f>_xll.QIns_CreateFundingInstrumentCollection(A25,B23:B24)</f>
        <v>FIC_Combined¬4</v>
      </c>
    </row>
    <row r="26" spans="1:9" x14ac:dyDescent="0.25">
      <c r="A26" t="s">
        <v>22</v>
      </c>
      <c r="B26" t="str">
        <f>_xll.QCurves_CreateFundingModel(A26,ValDate,B25,,B17,O2)</f>
        <v>FundingModel¬4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91"/>
  <sheetViews>
    <sheetView workbookViewId="0">
      <selection activeCell="A10" sqref="A10"/>
    </sheetView>
  </sheetViews>
  <sheetFormatPr defaultRowHeight="15" x14ac:dyDescent="0.25"/>
  <cols>
    <col min="1" max="1" width="12.7109375" customWidth="1"/>
    <col min="2" max="2" width="10.7109375" bestFit="1" customWidth="1"/>
    <col min="3" max="3" width="9.7109375" customWidth="1"/>
    <col min="4" max="4" width="10.140625" bestFit="1" customWidth="1"/>
    <col min="5" max="5" width="10.7109375" bestFit="1" customWidth="1"/>
    <col min="11" max="11" width="10.140625" bestFit="1" customWidth="1"/>
    <col min="20" max="20" width="14.28515625" customWidth="1"/>
    <col min="22" max="22" width="9.7109375" bestFit="1" customWidth="1"/>
    <col min="23" max="23" width="10.140625" bestFit="1" customWidth="1"/>
    <col min="24" max="24" width="9.7109375" customWidth="1"/>
    <col min="25" max="25" width="9.7109375" bestFit="1" customWidth="1"/>
    <col min="26" max="26" width="9.42578125" customWidth="1"/>
    <col min="27" max="27" width="10.7109375" bestFit="1" customWidth="1"/>
    <col min="28" max="28" width="10.5703125" bestFit="1" customWidth="1"/>
    <col min="29" max="29" width="11.140625" bestFit="1" customWidth="1"/>
    <col min="30" max="30" width="9.7109375" bestFit="1" customWidth="1"/>
    <col min="31" max="31" width="9.28515625" customWidth="1"/>
    <col min="32" max="32" width="9.85546875" bestFit="1" customWidth="1"/>
    <col min="33" max="33" width="10.7109375" bestFit="1" customWidth="1"/>
    <col min="35" max="35" width="12" customWidth="1"/>
  </cols>
  <sheetData>
    <row r="1" spans="1:40" x14ac:dyDescent="0.25">
      <c r="A1" s="2" t="s">
        <v>0</v>
      </c>
      <c r="B1" s="1">
        <v>43375</v>
      </c>
      <c r="P1" s="25" t="s">
        <v>2</v>
      </c>
      <c r="Q1" s="25"/>
      <c r="T1" s="25"/>
      <c r="V1" t="str">
        <f>_xll.QVol_CreateGridVolSurface(V4,V4,ValDate,0.5,$T$6:$T$45,V6:V45,"ForwardDelta","Linear","LinearInVariance","ACT365F",$U$6:$U$45)</f>
        <v>ICEBrent¬3</v>
      </c>
      <c r="W1" t="str">
        <f>_xll.QVol_CreateGridVolSurface(Y4,Y4,ValDate,0.5,$W$6:$W$28,Y6:Y28,"ForwardDelta","Linear","LinearInVariance","ACT365F",$X$6:$X$28)</f>
        <v>ICEGasoil¬3</v>
      </c>
      <c r="AA1" s="2"/>
      <c r="AB1" s="1"/>
    </row>
    <row r="2" spans="1:40" x14ac:dyDescent="0.25">
      <c r="A2" s="16"/>
      <c r="B2" s="17"/>
      <c r="C2" s="7"/>
      <c r="D2" s="7"/>
      <c r="E2" s="7"/>
      <c r="F2" s="7"/>
      <c r="G2" s="7"/>
      <c r="H2" s="7"/>
      <c r="P2" s="3" t="str">
        <f>_xll.QCurves_CreatePriceCurve(A3,A3,ValDate,$B$4:$B$65,$H$4:$H$65,"ICE",$A4:A$65,"USD","LIBOR.3M","0b","NYC")</f>
        <v>ICEBrent¬3</v>
      </c>
      <c r="Q2" s="3" t="str">
        <f>_xll.QCurves_CreatePriceCurve(J3,J3,ValDate,$K$4:$K$65,$Q$4:$Q$65,"ICE",J4:J65,"USD","LIBOR.3M","0b","NYC")</f>
        <v>ICEGasoil¬3</v>
      </c>
      <c r="T2" s="3"/>
      <c r="V2" s="39" t="s">
        <v>23</v>
      </c>
      <c r="W2" s="39"/>
      <c r="X2" s="39"/>
      <c r="Y2" s="39"/>
      <c r="Z2" s="39"/>
      <c r="AA2" s="2"/>
      <c r="AB2" s="1"/>
      <c r="AG2" s="10"/>
      <c r="AM2" t="s">
        <v>44</v>
      </c>
      <c r="AN2" t="s">
        <v>42</v>
      </c>
    </row>
    <row r="3" spans="1:40" x14ac:dyDescent="0.25">
      <c r="A3" s="16" t="s">
        <v>41</v>
      </c>
      <c r="B3" s="17"/>
      <c r="C3" s="14" t="s">
        <v>1</v>
      </c>
      <c r="D3" s="18" t="s">
        <v>36</v>
      </c>
      <c r="E3" s="18" t="s">
        <v>37</v>
      </c>
      <c r="F3" s="22" t="s">
        <v>38</v>
      </c>
      <c r="G3" s="22" t="s">
        <v>39</v>
      </c>
      <c r="H3" s="18" t="s">
        <v>40</v>
      </c>
      <c r="I3" s="7"/>
      <c r="J3" s="16" t="s">
        <v>42</v>
      </c>
      <c r="K3" s="17"/>
      <c r="L3" s="14" t="s">
        <v>1</v>
      </c>
      <c r="M3" s="18" t="s">
        <v>36</v>
      </c>
      <c r="N3" s="18" t="s">
        <v>37</v>
      </c>
      <c r="O3" s="22" t="s">
        <v>38</v>
      </c>
      <c r="P3" s="22" t="s">
        <v>39</v>
      </c>
      <c r="Q3" s="18" t="s">
        <v>40</v>
      </c>
      <c r="R3" s="18"/>
      <c r="S3" s="7"/>
      <c r="AA3" s="29"/>
      <c r="AF3" s="1"/>
      <c r="AG3" s="12"/>
      <c r="AM3" t="s">
        <v>47</v>
      </c>
      <c r="AN3" t="s">
        <v>41</v>
      </c>
    </row>
    <row r="4" spans="1:40" x14ac:dyDescent="0.25">
      <c r="A4" s="20" t="str">
        <f>_xll.QDates_FuturesGetFrontMonth(ValDate,"CO")</f>
        <v>COZ8</v>
      </c>
      <c r="B4" s="17">
        <f>_xll.QDates_FuturesExpiryFromCode(A4)</f>
        <v>43404</v>
      </c>
      <c r="C4">
        <v>84.98</v>
      </c>
      <c r="D4" s="7">
        <v>84.795000000000002</v>
      </c>
      <c r="E4" s="21">
        <f>$C$4-C4</f>
        <v>0</v>
      </c>
      <c r="F4" s="21">
        <f>IF(ISNUMBER(D4),$D$4-D4,"")</f>
        <v>0</v>
      </c>
      <c r="G4" s="21">
        <f t="array" ref="G4:G65">_xll.QCurves_BendCurve(E4:E65,F4:F65)</f>
        <v>0</v>
      </c>
      <c r="H4" s="24">
        <f>$D$4-G4</f>
        <v>84.795000000000002</v>
      </c>
      <c r="I4" s="19"/>
      <c r="J4" s="20" t="str">
        <f>_xll.QDates_FuturesGetFrontMonth(ValDate,"QS")</f>
        <v>QSV8</v>
      </c>
      <c r="K4" s="17">
        <f>_xll.QDates_FuturesExpiryFromCode(J4)</f>
        <v>43384</v>
      </c>
      <c r="L4">
        <v>734</v>
      </c>
      <c r="M4" s="7">
        <v>737.375</v>
      </c>
      <c r="N4" s="21">
        <f>$L$4-L4</f>
        <v>0</v>
      </c>
      <c r="O4" s="21">
        <f>IF(ISNUMBER(M4),$M$4-M4,"")</f>
        <v>0</v>
      </c>
      <c r="P4" s="21">
        <f t="array" ref="P4:P65">_xll.QCurves_BendCurve(N4:N65,O4:O65)</f>
        <v>0</v>
      </c>
      <c r="Q4" s="24">
        <f>$M$4-P4</f>
        <v>737.375</v>
      </c>
      <c r="R4" s="24"/>
      <c r="S4" s="26"/>
      <c r="V4" s="4" t="s">
        <v>41</v>
      </c>
      <c r="W4" s="4"/>
      <c r="X4" s="15"/>
      <c r="Y4" s="4" t="s">
        <v>42</v>
      </c>
      <c r="AA4" s="29"/>
      <c r="AG4" s="12"/>
      <c r="AM4" t="s">
        <v>45</v>
      </c>
      <c r="AN4" t="s">
        <v>43</v>
      </c>
    </row>
    <row r="5" spans="1:40" x14ac:dyDescent="0.25">
      <c r="A5" s="20" t="str">
        <f>_xll.QDates_FuturesNextCode(A4)</f>
        <v>COF9</v>
      </c>
      <c r="B5" s="17">
        <f>_xll.QDates_FuturesExpiryFromCode(A5)</f>
        <v>43434</v>
      </c>
      <c r="C5">
        <v>84.51</v>
      </c>
      <c r="D5" s="7">
        <v>84.325000000000003</v>
      </c>
      <c r="E5" s="21">
        <f t="shared" ref="E5:E53" si="0">$C$4-C5</f>
        <v>0.46999999999999886</v>
      </c>
      <c r="F5" s="21">
        <f t="shared" ref="F5:F53" si="1">IF(ISNUMBER(D5),$D$4-D5,"")</f>
        <v>0.46999999999999886</v>
      </c>
      <c r="G5" s="23">
        <v>0.46999999999999886</v>
      </c>
      <c r="H5" s="24">
        <f t="shared" ref="H5:H65" si="2">$D$4-G5</f>
        <v>84.325000000000003</v>
      </c>
      <c r="I5" s="18"/>
      <c r="J5" s="20" t="str">
        <f>_xll.QDates_FuturesNextCode(J4)</f>
        <v>QSX8</v>
      </c>
      <c r="K5" s="17">
        <f>_xll.QDates_FuturesExpiryFromCode(J5)</f>
        <v>43416</v>
      </c>
      <c r="L5">
        <v>734.5</v>
      </c>
      <c r="M5" s="7">
        <v>738.875</v>
      </c>
      <c r="N5" s="21">
        <f t="shared" ref="N5:N65" si="3">$L$4-L5</f>
        <v>-0.5</v>
      </c>
      <c r="O5" s="21">
        <f t="shared" ref="O5:O65" si="4">IF(ISNUMBER(M5),$M$4-M5,"")</f>
        <v>-1.5</v>
      </c>
      <c r="P5" s="23">
        <v>-1.5</v>
      </c>
      <c r="Q5" s="24">
        <f t="shared" ref="Q5:Q65" si="5">$M$4-P5</f>
        <v>738.875</v>
      </c>
      <c r="R5" s="24"/>
      <c r="S5" s="26"/>
      <c r="V5" s="4"/>
      <c r="W5" s="15"/>
      <c r="X5" s="15"/>
      <c r="Y5" s="4"/>
      <c r="Z5" s="4"/>
      <c r="AA5" s="1"/>
      <c r="AB5" s="4"/>
      <c r="AC5" s="4"/>
      <c r="AD5" s="10"/>
      <c r="AE5" s="10"/>
      <c r="AG5" s="12"/>
      <c r="AM5" t="s">
        <v>46</v>
      </c>
      <c r="AN5" t="s">
        <v>48</v>
      </c>
    </row>
    <row r="6" spans="1:40" x14ac:dyDescent="0.25">
      <c r="A6" s="20" t="str">
        <f>_xll.QDates_FuturesNextCode(A5)</f>
        <v>COG9</v>
      </c>
      <c r="B6" s="17">
        <f>_xll.QDates_FuturesExpiryFromCode(A6)</f>
        <v>43465</v>
      </c>
      <c r="C6">
        <v>84.12</v>
      </c>
      <c r="D6" s="7">
        <v>83.945000000000007</v>
      </c>
      <c r="E6" s="21">
        <f t="shared" si="0"/>
        <v>0.85999999999999943</v>
      </c>
      <c r="F6" s="21">
        <f t="shared" si="1"/>
        <v>0.84999999999999432</v>
      </c>
      <c r="G6" s="23">
        <v>0.84999999999999432</v>
      </c>
      <c r="H6" s="24">
        <f t="shared" si="2"/>
        <v>83.945000000000007</v>
      </c>
      <c r="I6" s="6"/>
      <c r="J6" s="20" t="str">
        <f>_xll.QDates_FuturesNextCode(J5)</f>
        <v>QSZ8</v>
      </c>
      <c r="K6" s="17">
        <f>_xll.QDates_FuturesExpiryFromCode(J6)</f>
        <v>43446</v>
      </c>
      <c r="L6">
        <v>731.75</v>
      </c>
      <c r="M6" s="7">
        <v>736.375</v>
      </c>
      <c r="N6" s="21">
        <f t="shared" si="3"/>
        <v>2.25</v>
      </c>
      <c r="O6" s="21">
        <f t="shared" si="4"/>
        <v>1</v>
      </c>
      <c r="P6" s="23">
        <v>1</v>
      </c>
      <c r="Q6" s="24">
        <f t="shared" si="5"/>
        <v>736.375</v>
      </c>
      <c r="R6" s="24"/>
      <c r="S6" s="26"/>
      <c r="T6" s="1">
        <f>B4</f>
        <v>43404</v>
      </c>
      <c r="U6" t="str">
        <f>UPPER(TEXT(T6,"MMMYY"))</f>
        <v>OCT18</v>
      </c>
      <c r="V6" s="9">
        <v>0.27391562685677934</v>
      </c>
      <c r="W6" s="27">
        <f>K4</f>
        <v>43384</v>
      </c>
      <c r="X6" t="str">
        <f>UPPER(TEXT(W6,"MMMYY"))</f>
        <v>OCT18</v>
      </c>
      <c r="Y6" s="9">
        <v>0.279504413605</v>
      </c>
      <c r="Z6" s="9"/>
      <c r="AA6" s="1"/>
      <c r="AF6" s="1"/>
      <c r="AG6" s="12"/>
    </row>
    <row r="7" spans="1:40" x14ac:dyDescent="0.25">
      <c r="A7" s="20" t="str">
        <f>_xll.QDates_FuturesNextCode(A6)</f>
        <v>COH9</v>
      </c>
      <c r="B7" s="17">
        <f>_xll.QDates_FuturesExpiryFromCode(A7)</f>
        <v>43496</v>
      </c>
      <c r="C7">
        <v>83.8</v>
      </c>
      <c r="D7" s="7">
        <v>83.65</v>
      </c>
      <c r="E7" s="21">
        <f t="shared" si="0"/>
        <v>1.1800000000000068</v>
      </c>
      <c r="F7" s="21">
        <f t="shared" si="1"/>
        <v>1.144999999999996</v>
      </c>
      <c r="G7" s="23">
        <v>1.144999999999996</v>
      </c>
      <c r="H7" s="24">
        <f t="shared" si="2"/>
        <v>83.65</v>
      </c>
      <c r="I7" s="6"/>
      <c r="J7" s="20" t="str">
        <f>_xll.QDates_FuturesNextCode(J6)</f>
        <v>QSF9</v>
      </c>
      <c r="K7" s="17">
        <f>_xll.QDates_FuturesExpiryFromCode(J7)</f>
        <v>43475</v>
      </c>
      <c r="L7">
        <v>730.25</v>
      </c>
      <c r="M7" s="7">
        <v>735.125</v>
      </c>
      <c r="N7" s="21">
        <f t="shared" si="3"/>
        <v>3.75</v>
      </c>
      <c r="O7" s="21">
        <f t="shared" si="4"/>
        <v>2.25</v>
      </c>
      <c r="P7" s="23">
        <v>2.25</v>
      </c>
      <c r="Q7" s="24">
        <f t="shared" si="5"/>
        <v>735.125</v>
      </c>
      <c r="R7" s="24"/>
      <c r="S7" s="26"/>
      <c r="T7" s="1">
        <f>B5</f>
        <v>43434</v>
      </c>
      <c r="U7" t="str">
        <f t="shared" ref="U7:U45" si="6">UPPER(TEXT(T7,"MMMYY"))</f>
        <v>NOV18</v>
      </c>
      <c r="V7" s="9">
        <v>0.2595227061877266</v>
      </c>
      <c r="W7" s="27">
        <f>K5</f>
        <v>43416</v>
      </c>
      <c r="X7" t="str">
        <f t="shared" ref="X7:X28" si="7">UPPER(TEXT(W7,"MMMYY"))</f>
        <v>NOV18</v>
      </c>
      <c r="Y7" s="9">
        <v>0.223042373657</v>
      </c>
      <c r="Z7" s="9"/>
      <c r="AA7" s="5" t="s">
        <v>24</v>
      </c>
      <c r="AB7" t="str">
        <f>_xll.QCurves_CreateAssetFxModel(AA7,ValDate,P2:S2,V1:Y1,FundingFx!B26,,AB15)</f>
        <v>Model¬6</v>
      </c>
      <c r="AF7" s="1"/>
      <c r="AG7" s="12"/>
      <c r="AM7" s="11"/>
    </row>
    <row r="8" spans="1:40" x14ac:dyDescent="0.25">
      <c r="A8" s="20" t="str">
        <f>_xll.QDates_FuturesNextCode(A7)</f>
        <v>COJ9</v>
      </c>
      <c r="B8" s="17">
        <f>_xll.QDates_FuturesExpiryFromCode(A8)</f>
        <v>43524</v>
      </c>
      <c r="C8">
        <v>83.47</v>
      </c>
      <c r="D8" s="7">
        <v>83.34</v>
      </c>
      <c r="E8" s="21">
        <f t="shared" si="0"/>
        <v>1.5100000000000051</v>
      </c>
      <c r="F8" s="21">
        <f t="shared" si="1"/>
        <v>1.4549999999999983</v>
      </c>
      <c r="G8" s="23">
        <v>1.4549999999999983</v>
      </c>
      <c r="H8" s="24">
        <f t="shared" si="2"/>
        <v>83.34</v>
      </c>
      <c r="I8" s="6"/>
      <c r="J8" s="20" t="str">
        <f>_xll.QDates_FuturesNextCode(J7)</f>
        <v>QSG9</v>
      </c>
      <c r="K8" s="17">
        <f>_xll.QDates_FuturesExpiryFromCode(J8)</f>
        <v>43508</v>
      </c>
      <c r="L8">
        <v>728.75</v>
      </c>
      <c r="M8" s="7">
        <v>734.25</v>
      </c>
      <c r="N8" s="21">
        <f t="shared" si="3"/>
        <v>5.25</v>
      </c>
      <c r="O8" s="21">
        <f t="shared" si="4"/>
        <v>3.125</v>
      </c>
      <c r="P8" s="23">
        <v>3.125</v>
      </c>
      <c r="Q8" s="24">
        <f t="shared" si="5"/>
        <v>734.25</v>
      </c>
      <c r="R8" s="24"/>
      <c r="S8" s="26"/>
      <c r="T8" s="1">
        <f>B6</f>
        <v>43465</v>
      </c>
      <c r="U8" t="str">
        <f t="shared" si="6"/>
        <v>DEC18</v>
      </c>
      <c r="V8" s="9">
        <v>0.25651992031901455</v>
      </c>
      <c r="W8" s="27">
        <f>K6</f>
        <v>43446</v>
      </c>
      <c r="X8" t="str">
        <f t="shared" si="7"/>
        <v>DEC18</v>
      </c>
      <c r="Y8" s="9">
        <v>0.226302032471</v>
      </c>
      <c r="Z8" s="9"/>
      <c r="AF8" s="1"/>
      <c r="AG8" s="12"/>
    </row>
    <row r="9" spans="1:40" x14ac:dyDescent="0.25">
      <c r="A9" s="20" t="str">
        <f>_xll.QDates_FuturesNextCode(A8)</f>
        <v>COK9</v>
      </c>
      <c r="B9" s="17">
        <f>_xll.QDates_FuturesExpiryFromCode(A9)</f>
        <v>43553</v>
      </c>
      <c r="C9">
        <v>83.13</v>
      </c>
      <c r="D9" s="7">
        <v>83.02</v>
      </c>
      <c r="E9" s="21">
        <f t="shared" si="0"/>
        <v>1.8500000000000085</v>
      </c>
      <c r="F9" s="21">
        <f t="shared" si="1"/>
        <v>1.7750000000000057</v>
      </c>
      <c r="G9" s="23">
        <v>1.7750000000000057</v>
      </c>
      <c r="H9" s="24">
        <f t="shared" si="2"/>
        <v>83.02</v>
      </c>
      <c r="I9" s="6"/>
      <c r="J9" s="20" t="str">
        <f>_xll.QDates_FuturesNextCode(J8)</f>
        <v>QSH9</v>
      </c>
      <c r="K9" s="17">
        <f>_xll.QDates_FuturesExpiryFromCode(J9)</f>
        <v>43536</v>
      </c>
      <c r="L9">
        <v>727.25</v>
      </c>
      <c r="M9" s="7">
        <v>732.625</v>
      </c>
      <c r="N9" s="21">
        <f t="shared" si="3"/>
        <v>6.75</v>
      </c>
      <c r="O9" s="21">
        <f t="shared" si="4"/>
        <v>4.75</v>
      </c>
      <c r="P9" s="23">
        <v>4.75</v>
      </c>
      <c r="Q9" s="24">
        <f t="shared" si="5"/>
        <v>732.625</v>
      </c>
      <c r="R9" s="24"/>
      <c r="S9" s="26"/>
      <c r="T9" s="1">
        <f>B7</f>
        <v>43496</v>
      </c>
      <c r="U9" t="str">
        <f t="shared" si="6"/>
        <v>JAN19</v>
      </c>
      <c r="V9" s="9">
        <v>0.25002409058853575</v>
      </c>
      <c r="W9" s="27">
        <f>K7</f>
        <v>43475</v>
      </c>
      <c r="X9" t="str">
        <f t="shared" si="7"/>
        <v>JAN19</v>
      </c>
      <c r="Y9" s="9">
        <v>0.22576436996499999</v>
      </c>
      <c r="Z9" s="9"/>
      <c r="AF9" s="1"/>
      <c r="AG9" s="12"/>
      <c r="AM9" t="s">
        <v>18</v>
      </c>
      <c r="AN9" t="s">
        <v>51</v>
      </c>
    </row>
    <row r="10" spans="1:40" x14ac:dyDescent="0.25">
      <c r="A10" s="20" t="str">
        <f>_xll.QDates_FuturesNextCode(A9)</f>
        <v>COM9</v>
      </c>
      <c r="B10" s="17">
        <f>_xll.QDates_FuturesExpiryFromCode(A10)</f>
        <v>43585</v>
      </c>
      <c r="C10">
        <v>82.74</v>
      </c>
      <c r="D10" s="7">
        <v>82.64</v>
      </c>
      <c r="E10" s="21">
        <f t="shared" si="0"/>
        <v>2.2400000000000091</v>
      </c>
      <c r="F10" s="21">
        <f t="shared" si="1"/>
        <v>2.1550000000000011</v>
      </c>
      <c r="G10" s="23">
        <v>2.1550000000000011</v>
      </c>
      <c r="H10" s="24">
        <f t="shared" si="2"/>
        <v>82.64</v>
      </c>
      <c r="I10" s="6"/>
      <c r="J10" s="20" t="str">
        <f>_xll.QDates_FuturesNextCode(J9)</f>
        <v>QSJ9</v>
      </c>
      <c r="K10" s="17">
        <f>_xll.QDates_FuturesExpiryFromCode(J10)</f>
        <v>43566</v>
      </c>
      <c r="L10">
        <v>725</v>
      </c>
      <c r="M10" s="7">
        <v>730.375</v>
      </c>
      <c r="N10" s="21">
        <f t="shared" si="3"/>
        <v>9</v>
      </c>
      <c r="O10" s="21">
        <f t="shared" si="4"/>
        <v>7</v>
      </c>
      <c r="P10" s="23">
        <v>7</v>
      </c>
      <c r="Q10" s="24">
        <f t="shared" si="5"/>
        <v>730.375</v>
      </c>
      <c r="R10" s="24"/>
      <c r="S10" s="26"/>
      <c r="T10" s="1">
        <f>B8</f>
        <v>43524</v>
      </c>
      <c r="U10" t="str">
        <f t="shared" si="6"/>
        <v>FEB19</v>
      </c>
      <c r="V10" s="9">
        <v>0.24471535158173721</v>
      </c>
      <c r="W10" s="27">
        <f>K8</f>
        <v>43508</v>
      </c>
      <c r="X10" t="str">
        <f t="shared" si="7"/>
        <v>FEB19</v>
      </c>
      <c r="Y10" s="9">
        <v>0.22701507568400001</v>
      </c>
      <c r="Z10" s="9"/>
      <c r="AF10" s="1"/>
      <c r="AG10" s="12"/>
      <c r="AM10" t="s">
        <v>19</v>
      </c>
      <c r="AN10" t="s">
        <v>52</v>
      </c>
    </row>
    <row r="11" spans="1:40" x14ac:dyDescent="0.25">
      <c r="A11" s="20" t="str">
        <f>_xll.QDates_FuturesNextCode(A10)</f>
        <v>CON9</v>
      </c>
      <c r="B11" s="17">
        <f>_xll.QDates_FuturesExpiryFromCode(A11)</f>
        <v>43616</v>
      </c>
      <c r="C11">
        <v>82.350000000000009</v>
      </c>
      <c r="D11" s="7">
        <v>82.27</v>
      </c>
      <c r="E11" s="21">
        <f t="shared" si="0"/>
        <v>2.6299999999999955</v>
      </c>
      <c r="F11" s="21">
        <f t="shared" si="1"/>
        <v>2.5250000000000057</v>
      </c>
      <c r="G11" s="23">
        <v>2.5250000000000057</v>
      </c>
      <c r="H11" s="24">
        <f t="shared" si="2"/>
        <v>82.27</v>
      </c>
      <c r="I11" s="6"/>
      <c r="J11" s="20" t="str">
        <f>_xll.QDates_FuturesNextCode(J10)</f>
        <v>QSK9</v>
      </c>
      <c r="K11" s="17">
        <f>_xll.QDates_FuturesExpiryFromCode(J11)</f>
        <v>43595</v>
      </c>
      <c r="L11">
        <v>723</v>
      </c>
      <c r="M11" s="7">
        <v>728.5</v>
      </c>
      <c r="N11" s="21">
        <f t="shared" si="3"/>
        <v>11</v>
      </c>
      <c r="O11" s="21">
        <f t="shared" si="4"/>
        <v>8.875</v>
      </c>
      <c r="P11" s="23">
        <v>8.875</v>
      </c>
      <c r="Q11" s="24">
        <f t="shared" si="5"/>
        <v>728.5</v>
      </c>
      <c r="R11" s="24"/>
      <c r="S11" s="26"/>
      <c r="T11" s="1">
        <f>B9</f>
        <v>43553</v>
      </c>
      <c r="U11" t="str">
        <f t="shared" si="6"/>
        <v>MAR19</v>
      </c>
      <c r="V11" s="9">
        <v>0.24625856139086108</v>
      </c>
      <c r="W11" s="27">
        <f>K9</f>
        <v>43536</v>
      </c>
      <c r="X11" t="str">
        <f t="shared" si="7"/>
        <v>MAR19</v>
      </c>
      <c r="Y11" s="9">
        <v>0.22866397857700002</v>
      </c>
      <c r="Z11" s="9"/>
      <c r="AF11" s="1"/>
      <c r="AG11" s="12"/>
    </row>
    <row r="12" spans="1:40" x14ac:dyDescent="0.25">
      <c r="A12" s="20" t="str">
        <f>_xll.QDates_FuturesNextCode(A11)</f>
        <v>COQ9</v>
      </c>
      <c r="B12" s="17">
        <f>_xll.QDates_FuturesExpiryFromCode(A12)</f>
        <v>43644</v>
      </c>
      <c r="C12">
        <v>81.94</v>
      </c>
      <c r="D12" s="7">
        <v>81.87</v>
      </c>
      <c r="E12" s="21">
        <f t="shared" si="0"/>
        <v>3.0400000000000063</v>
      </c>
      <c r="F12" s="21">
        <f t="shared" si="1"/>
        <v>2.9249999999999972</v>
      </c>
      <c r="G12" s="23">
        <v>2.9249999999999972</v>
      </c>
      <c r="H12" s="24">
        <f t="shared" si="2"/>
        <v>81.87</v>
      </c>
      <c r="I12" s="6"/>
      <c r="J12" s="20" t="str">
        <f>_xll.QDates_FuturesNextCode(J11)</f>
        <v>QSM9</v>
      </c>
      <c r="K12" s="17">
        <f>_xll.QDates_FuturesExpiryFromCode(J12)</f>
        <v>43628</v>
      </c>
      <c r="L12">
        <v>721.75</v>
      </c>
      <c r="M12" s="7">
        <v>727.25</v>
      </c>
      <c r="N12" s="21">
        <f t="shared" si="3"/>
        <v>12.25</v>
      </c>
      <c r="O12" s="21">
        <f t="shared" si="4"/>
        <v>10.125</v>
      </c>
      <c r="P12" s="23">
        <v>10.125</v>
      </c>
      <c r="Q12" s="24">
        <f t="shared" si="5"/>
        <v>727.25</v>
      </c>
      <c r="R12" s="24"/>
      <c r="S12" s="26"/>
      <c r="T12" s="1">
        <f>B10</f>
        <v>43585</v>
      </c>
      <c r="U12" t="str">
        <f t="shared" si="6"/>
        <v>APR19</v>
      </c>
      <c r="V12" s="9">
        <v>0.24239558924988763</v>
      </c>
      <c r="W12" s="27">
        <f>K10</f>
        <v>43566</v>
      </c>
      <c r="X12" t="str">
        <f t="shared" si="7"/>
        <v>APR19</v>
      </c>
      <c r="Y12" s="9">
        <v>0.23087039947499999</v>
      </c>
      <c r="Z12" s="9"/>
      <c r="AB12" s="11" t="s">
        <v>41</v>
      </c>
      <c r="AC12" s="11" t="s">
        <v>42</v>
      </c>
      <c r="AD12" s="11"/>
      <c r="AF12" s="1"/>
      <c r="AG12" s="12"/>
    </row>
    <row r="13" spans="1:40" x14ac:dyDescent="0.25">
      <c r="A13" s="20" t="str">
        <f>_xll.QDates_FuturesNextCode(A12)</f>
        <v>COU9</v>
      </c>
      <c r="B13" s="17">
        <f>_xll.QDates_FuturesExpiryFromCode(A13)</f>
        <v>43677</v>
      </c>
      <c r="C13">
        <v>81.510000000000005</v>
      </c>
      <c r="D13" s="7">
        <v>81.460000000000008</v>
      </c>
      <c r="E13" s="21">
        <f t="shared" si="0"/>
        <v>3.4699999999999989</v>
      </c>
      <c r="F13" s="21">
        <f t="shared" si="1"/>
        <v>3.3349999999999937</v>
      </c>
      <c r="G13" s="23">
        <v>3.3349999999999937</v>
      </c>
      <c r="H13" s="24">
        <f t="shared" si="2"/>
        <v>81.460000000000008</v>
      </c>
      <c r="I13" s="6"/>
      <c r="J13" s="20" t="str">
        <f>_xll.QDates_FuturesNextCode(J12)</f>
        <v>QSN9</v>
      </c>
      <c r="K13" s="17">
        <f>_xll.QDates_FuturesExpiryFromCode(J13)</f>
        <v>43657</v>
      </c>
      <c r="L13">
        <v>721.75</v>
      </c>
      <c r="M13" s="7">
        <v>727.375</v>
      </c>
      <c r="N13" s="21">
        <f t="shared" si="3"/>
        <v>12.25</v>
      </c>
      <c r="O13" s="21">
        <f t="shared" si="4"/>
        <v>10</v>
      </c>
      <c r="P13" s="23">
        <v>10</v>
      </c>
      <c r="Q13" s="24">
        <f t="shared" si="5"/>
        <v>727.375</v>
      </c>
      <c r="R13" s="24"/>
      <c r="S13" s="26"/>
      <c r="T13" s="1">
        <f>B11</f>
        <v>43616</v>
      </c>
      <c r="U13" t="str">
        <f t="shared" si="6"/>
        <v>MAY19</v>
      </c>
      <c r="V13" s="9">
        <v>0.24414269542485476</v>
      </c>
      <c r="W13" s="27">
        <f>K11</f>
        <v>43595</v>
      </c>
      <c r="X13" t="str">
        <f t="shared" si="7"/>
        <v>MAY19</v>
      </c>
      <c r="Y13" s="9">
        <v>0.2309116745</v>
      </c>
      <c r="Z13" s="9"/>
      <c r="AA13" t="s">
        <v>53</v>
      </c>
      <c r="AB13">
        <v>-0.3</v>
      </c>
      <c r="AC13">
        <v>-0.3</v>
      </c>
      <c r="AF13" s="1"/>
      <c r="AG13" s="12"/>
    </row>
    <row r="14" spans="1:40" x14ac:dyDescent="0.25">
      <c r="A14" s="20" t="str">
        <f>_xll.QDates_FuturesNextCode(A13)</f>
        <v>COV9</v>
      </c>
      <c r="B14" s="17">
        <f>_xll.QDates_FuturesExpiryFromCode(A14)</f>
        <v>43707</v>
      </c>
      <c r="C14">
        <v>81.09</v>
      </c>
      <c r="D14" s="7">
        <v>80.995000000000005</v>
      </c>
      <c r="E14" s="21">
        <f t="shared" si="0"/>
        <v>3.8900000000000006</v>
      </c>
      <c r="F14" s="21">
        <f t="shared" si="1"/>
        <v>3.7999999999999972</v>
      </c>
      <c r="G14" s="23">
        <v>3.7999999999999972</v>
      </c>
      <c r="H14" s="24">
        <f t="shared" si="2"/>
        <v>80.995000000000005</v>
      </c>
      <c r="I14" s="6"/>
      <c r="J14" s="20" t="str">
        <f>_xll.QDates_FuturesNextCode(J13)</f>
        <v>QSQ9</v>
      </c>
      <c r="K14" s="17">
        <f>_xll.QDates_FuturesExpiryFromCode(J14)</f>
        <v>43689</v>
      </c>
      <c r="L14">
        <v>722.75</v>
      </c>
      <c r="M14" s="7">
        <v>728.25</v>
      </c>
      <c r="N14" s="21">
        <f t="shared" si="3"/>
        <v>11.25</v>
      </c>
      <c r="O14" s="21">
        <f t="shared" si="4"/>
        <v>9.125</v>
      </c>
      <c r="P14" s="23">
        <v>9.125</v>
      </c>
      <c r="Q14" s="24">
        <f t="shared" si="5"/>
        <v>728.25</v>
      </c>
      <c r="R14" s="24"/>
      <c r="S14" s="26"/>
      <c r="T14" s="1">
        <f>B12</f>
        <v>43644</v>
      </c>
      <c r="U14" t="str">
        <f t="shared" si="6"/>
        <v>JUN19</v>
      </c>
      <c r="V14" s="9">
        <v>0.23979500732178269</v>
      </c>
      <c r="W14" s="27">
        <f>K12</f>
        <v>43628</v>
      </c>
      <c r="X14" t="str">
        <f t="shared" si="7"/>
        <v>JUN19</v>
      </c>
      <c r="Y14" s="9">
        <v>0.23213153839099998</v>
      </c>
      <c r="Z14" s="9"/>
      <c r="AF14" s="1"/>
      <c r="AG14" s="12"/>
    </row>
    <row r="15" spans="1:40" x14ac:dyDescent="0.25">
      <c r="A15" s="20" t="str">
        <f>_xll.QDates_FuturesNextCode(A14)</f>
        <v>COX9</v>
      </c>
      <c r="B15" s="17">
        <f>_xll.QDates_FuturesExpiryFromCode(A15)</f>
        <v>43738</v>
      </c>
      <c r="C15">
        <v>80.69</v>
      </c>
      <c r="D15" s="7">
        <v>80.625</v>
      </c>
      <c r="E15" s="21">
        <f t="shared" si="0"/>
        <v>4.2900000000000063</v>
      </c>
      <c r="F15" s="21">
        <f t="shared" si="1"/>
        <v>4.1700000000000017</v>
      </c>
      <c r="G15" s="23">
        <v>4.1700000000000017</v>
      </c>
      <c r="H15" s="24">
        <f t="shared" si="2"/>
        <v>80.625</v>
      </c>
      <c r="I15" s="6"/>
      <c r="J15" s="20" t="str">
        <f>_xll.QDates_FuturesNextCode(J14)</f>
        <v>QSU9</v>
      </c>
      <c r="K15" s="17">
        <f>_xll.QDates_FuturesExpiryFromCode(J15)</f>
        <v>43720</v>
      </c>
      <c r="L15">
        <v>724</v>
      </c>
      <c r="M15" s="7">
        <v>729.5</v>
      </c>
      <c r="N15" s="21">
        <f t="shared" si="3"/>
        <v>10</v>
      </c>
      <c r="O15" s="21">
        <f t="shared" si="4"/>
        <v>7.875</v>
      </c>
      <c r="P15" s="23">
        <v>7.875</v>
      </c>
      <c r="Q15" s="24">
        <f t="shared" si="5"/>
        <v>729.5</v>
      </c>
      <c r="R15" s="24"/>
      <c r="S15" s="26"/>
      <c r="T15" s="1">
        <f>B13</f>
        <v>43677</v>
      </c>
      <c r="U15" t="str">
        <f t="shared" si="6"/>
        <v>JUL19</v>
      </c>
      <c r="V15" s="9">
        <v>0.24986064105040817</v>
      </c>
      <c r="W15" s="27">
        <f>K13</f>
        <v>43657</v>
      </c>
      <c r="X15" t="str">
        <f t="shared" si="7"/>
        <v>JUL19</v>
      </c>
      <c r="Y15" s="9">
        <v>0.23309053421000001</v>
      </c>
      <c r="Z15" s="9"/>
      <c r="AA15" s="2" t="s">
        <v>34</v>
      </c>
      <c r="AB15" t="str">
        <f>_xll.QCurves_CreateCorrelationMatrix(AA15,AA13,AB12:AC12,AB13:AC13)</f>
        <v>CorrelMatrix¬9</v>
      </c>
      <c r="AF15" s="1"/>
      <c r="AG15" s="12"/>
    </row>
    <row r="16" spans="1:40" x14ac:dyDescent="0.25">
      <c r="A16" s="20" t="str">
        <f>_xll.QDates_FuturesNextCode(A15)</f>
        <v>COZ9</v>
      </c>
      <c r="B16" s="17">
        <f>_xll.QDates_FuturesExpiryFromCode(A16)</f>
        <v>43769</v>
      </c>
      <c r="C16">
        <v>80.25</v>
      </c>
      <c r="D16" s="7">
        <v>80.204999999999998</v>
      </c>
      <c r="E16" s="21">
        <f t="shared" si="0"/>
        <v>4.730000000000004</v>
      </c>
      <c r="F16" s="21">
        <f t="shared" si="1"/>
        <v>4.5900000000000034</v>
      </c>
      <c r="G16" s="23">
        <v>4.5900000000000034</v>
      </c>
      <c r="H16" s="24">
        <f t="shared" si="2"/>
        <v>80.204999999999998</v>
      </c>
      <c r="I16" s="6"/>
      <c r="J16" s="20" t="str">
        <f>_xll.QDates_FuturesNextCode(J15)</f>
        <v>QSV9</v>
      </c>
      <c r="K16" s="17">
        <f>_xll.QDates_FuturesExpiryFromCode(J16)</f>
        <v>43748</v>
      </c>
      <c r="L16">
        <v>725.5</v>
      </c>
      <c r="M16" s="7">
        <v>733</v>
      </c>
      <c r="N16" s="21">
        <f t="shared" si="3"/>
        <v>8.5</v>
      </c>
      <c r="O16" s="21">
        <f t="shared" si="4"/>
        <v>4.375</v>
      </c>
      <c r="P16" s="23">
        <v>4.375</v>
      </c>
      <c r="Q16" s="24">
        <f t="shared" si="5"/>
        <v>733</v>
      </c>
      <c r="R16" s="24"/>
      <c r="S16" s="26"/>
      <c r="T16" s="1">
        <f>B14</f>
        <v>43707</v>
      </c>
      <c r="U16" t="str">
        <f t="shared" si="6"/>
        <v>AUG19</v>
      </c>
      <c r="V16" s="9">
        <v>0.24687541707337068</v>
      </c>
      <c r="W16" s="27">
        <f>K14</f>
        <v>43689</v>
      </c>
      <c r="X16" t="str">
        <f t="shared" si="7"/>
        <v>AUG19</v>
      </c>
      <c r="Y16" s="9">
        <v>0.233186473846</v>
      </c>
      <c r="Z16" s="9"/>
      <c r="AA16" s="1"/>
      <c r="AF16" s="1"/>
      <c r="AG16" s="12"/>
    </row>
    <row r="17" spans="1:33" x14ac:dyDescent="0.25">
      <c r="A17" s="20" t="str">
        <f>_xll.QDates_FuturesNextCode(A16)</f>
        <v>COF0</v>
      </c>
      <c r="B17" s="17">
        <f>_xll.QDates_FuturesExpiryFromCode(A17)</f>
        <v>43798</v>
      </c>
      <c r="C17">
        <v>79.86</v>
      </c>
      <c r="D17" s="7">
        <v>79.81</v>
      </c>
      <c r="E17" s="21">
        <f t="shared" si="0"/>
        <v>5.1200000000000045</v>
      </c>
      <c r="F17" s="21">
        <f t="shared" si="1"/>
        <v>4.9849999999999994</v>
      </c>
      <c r="G17" s="23">
        <v>4.9849999999999994</v>
      </c>
      <c r="H17" s="24">
        <f t="shared" si="2"/>
        <v>79.81</v>
      </c>
      <c r="I17" s="6"/>
      <c r="J17" s="20" t="str">
        <f>_xll.QDates_FuturesNextCode(J16)</f>
        <v>QSX9</v>
      </c>
      <c r="K17" s="17">
        <f>_xll.QDates_FuturesExpiryFromCode(J17)</f>
        <v>43781</v>
      </c>
      <c r="L17">
        <v>724.25</v>
      </c>
      <c r="M17" s="7">
        <v>736.25</v>
      </c>
      <c r="N17" s="21">
        <f t="shared" si="3"/>
        <v>9.75</v>
      </c>
      <c r="O17" s="21">
        <f t="shared" si="4"/>
        <v>1.125</v>
      </c>
      <c r="P17" s="23">
        <v>1.125</v>
      </c>
      <c r="Q17" s="24">
        <f t="shared" si="5"/>
        <v>736.25</v>
      </c>
      <c r="R17" s="24"/>
      <c r="S17" s="26"/>
      <c r="T17" s="1">
        <f>B15</f>
        <v>43738</v>
      </c>
      <c r="U17" t="str">
        <f t="shared" si="6"/>
        <v>SEP19</v>
      </c>
      <c r="V17" s="9">
        <v>0.24380419485384025</v>
      </c>
      <c r="W17" s="27">
        <f>K15</f>
        <v>43720</v>
      </c>
      <c r="X17" t="str">
        <f t="shared" si="7"/>
        <v>SEP19</v>
      </c>
      <c r="Y17" s="9">
        <v>0.233658943176</v>
      </c>
      <c r="Z17" s="9"/>
      <c r="AA17" s="1"/>
      <c r="AF17" s="1"/>
      <c r="AG17" s="12"/>
    </row>
    <row r="18" spans="1:33" x14ac:dyDescent="0.25">
      <c r="A18" s="20" t="str">
        <f>_xll.QDates_FuturesNextCode(A17)</f>
        <v>COG0</v>
      </c>
      <c r="B18" s="17">
        <f>_xll.QDates_FuturesExpiryFromCode(A18)</f>
        <v>43830</v>
      </c>
      <c r="C18">
        <v>79.47</v>
      </c>
      <c r="D18" s="7">
        <v>79.400000000000006</v>
      </c>
      <c r="E18" s="21">
        <f t="shared" si="0"/>
        <v>5.5100000000000051</v>
      </c>
      <c r="F18" s="21">
        <f t="shared" si="1"/>
        <v>5.394999999999996</v>
      </c>
      <c r="G18" s="23">
        <v>5.394999999999996</v>
      </c>
      <c r="H18" s="24">
        <f t="shared" si="2"/>
        <v>79.400000000000006</v>
      </c>
      <c r="I18" s="6"/>
      <c r="J18" s="20" t="str">
        <f>_xll.QDates_FuturesNextCode(J17)</f>
        <v>QSZ9</v>
      </c>
      <c r="K18" s="17">
        <f>_xll.QDates_FuturesExpiryFromCode(J18)</f>
        <v>43811</v>
      </c>
      <c r="L18">
        <v>723.25</v>
      </c>
      <c r="M18" s="7">
        <v>729</v>
      </c>
      <c r="N18" s="21">
        <f t="shared" si="3"/>
        <v>10.75</v>
      </c>
      <c r="O18" s="21">
        <f t="shared" si="4"/>
        <v>8.375</v>
      </c>
      <c r="P18" s="23">
        <v>8.375</v>
      </c>
      <c r="Q18" s="24">
        <f t="shared" si="5"/>
        <v>729</v>
      </c>
      <c r="R18" s="24"/>
      <c r="S18" s="26"/>
      <c r="T18" s="1">
        <f>B16</f>
        <v>43769</v>
      </c>
      <c r="U18" t="str">
        <f t="shared" si="6"/>
        <v>OCT19</v>
      </c>
      <c r="V18" s="9">
        <v>0.23933633186833844</v>
      </c>
      <c r="W18" s="27">
        <f>K16</f>
        <v>43748</v>
      </c>
      <c r="X18" t="str">
        <f t="shared" si="7"/>
        <v>OCT19</v>
      </c>
      <c r="Y18" s="9">
        <v>0.23372766494800001</v>
      </c>
      <c r="Z18" s="9"/>
      <c r="AA18" s="1"/>
      <c r="AF18" s="1"/>
      <c r="AG18" s="12"/>
    </row>
    <row r="19" spans="1:33" x14ac:dyDescent="0.25">
      <c r="A19" s="20" t="str">
        <f>_xll.QDates_FuturesNextCode(A18)</f>
        <v>COH0</v>
      </c>
      <c r="B19" s="17">
        <f>_xll.QDates_FuturesExpiryFromCode(A19)</f>
        <v>43861</v>
      </c>
      <c r="C19">
        <v>79.070000000000007</v>
      </c>
      <c r="D19" s="7">
        <v>79.010000000000005</v>
      </c>
      <c r="E19" s="21">
        <f t="shared" si="0"/>
        <v>5.9099999999999966</v>
      </c>
      <c r="F19" s="21">
        <f t="shared" si="1"/>
        <v>5.7849999999999966</v>
      </c>
      <c r="G19" s="23">
        <v>5.7849999999999966</v>
      </c>
      <c r="H19" s="24">
        <f t="shared" si="2"/>
        <v>79.010000000000005</v>
      </c>
      <c r="I19" s="6"/>
      <c r="J19" s="20" t="str">
        <f>_xll.QDates_FuturesNextCode(J18)</f>
        <v>QSF0</v>
      </c>
      <c r="K19" s="17">
        <f>_xll.QDates_FuturesExpiryFromCode(J19)</f>
        <v>43840</v>
      </c>
      <c r="L19">
        <v>723.75</v>
      </c>
      <c r="M19" s="7">
        <v>731.625</v>
      </c>
      <c r="N19" s="21">
        <f>$L$4-L19</f>
        <v>10.25</v>
      </c>
      <c r="O19" s="21">
        <f>IF(ISNUMBER(M19),$M$4-M19,"")</f>
        <v>5.75</v>
      </c>
      <c r="P19" s="23">
        <v>5.75</v>
      </c>
      <c r="Q19" s="24">
        <f t="shared" si="5"/>
        <v>731.625</v>
      </c>
      <c r="R19" s="24"/>
      <c r="S19" s="26"/>
      <c r="T19" s="1">
        <f>B17</f>
        <v>43798</v>
      </c>
      <c r="U19" t="str">
        <f t="shared" si="6"/>
        <v>NOV19</v>
      </c>
      <c r="V19" s="9">
        <v>0.24023713388502579</v>
      </c>
      <c r="W19" s="27">
        <f>K17</f>
        <v>43781</v>
      </c>
      <c r="X19" t="str">
        <f t="shared" si="7"/>
        <v>NOV19</v>
      </c>
      <c r="Y19" s="9">
        <v>0.23329523086500001</v>
      </c>
      <c r="Z19" s="9"/>
      <c r="AA19" s="1"/>
      <c r="AF19" s="1"/>
      <c r="AG19" s="12"/>
    </row>
    <row r="20" spans="1:33" x14ac:dyDescent="0.25">
      <c r="A20" s="20" t="str">
        <f>_xll.QDates_FuturesNextCode(A19)</f>
        <v>COJ0</v>
      </c>
      <c r="B20" s="17">
        <f>_xll.QDates_FuturesExpiryFromCode(A20)</f>
        <v>43889</v>
      </c>
      <c r="C20">
        <v>78.66</v>
      </c>
      <c r="D20" s="7">
        <v>78.614999999999995</v>
      </c>
      <c r="E20" s="21">
        <f t="shared" si="0"/>
        <v>6.3200000000000074</v>
      </c>
      <c r="F20" s="21">
        <f t="shared" si="1"/>
        <v>6.1800000000000068</v>
      </c>
      <c r="G20" s="23">
        <v>6.1800000000000068</v>
      </c>
      <c r="H20" s="24">
        <f t="shared" si="2"/>
        <v>78.614999999999995</v>
      </c>
      <c r="I20" s="6"/>
      <c r="J20" s="20" t="str">
        <f>_xll.QDates_FuturesNextCode(J19)</f>
        <v>QSG0</v>
      </c>
      <c r="K20" s="17">
        <f>_xll.QDates_FuturesExpiryFromCode(J20)</f>
        <v>43873</v>
      </c>
      <c r="L20">
        <v>722.5</v>
      </c>
      <c r="M20" s="7">
        <v>734.125</v>
      </c>
      <c r="N20" s="21">
        <f t="shared" si="3"/>
        <v>11.5</v>
      </c>
      <c r="O20" s="21">
        <f t="shared" si="4"/>
        <v>3.25</v>
      </c>
      <c r="P20" s="23">
        <v>3.25</v>
      </c>
      <c r="Q20" s="24">
        <f t="shared" si="5"/>
        <v>734.125</v>
      </c>
      <c r="R20" s="24"/>
      <c r="S20" s="26"/>
      <c r="T20" s="1">
        <f>B18</f>
        <v>43830</v>
      </c>
      <c r="U20" t="str">
        <f t="shared" si="6"/>
        <v>DEC19</v>
      </c>
      <c r="V20" s="9">
        <v>0.23965305445062046</v>
      </c>
      <c r="W20" s="27">
        <f>K18</f>
        <v>43811</v>
      </c>
      <c r="X20" t="str">
        <f t="shared" si="7"/>
        <v>DEC19</v>
      </c>
      <c r="Y20" s="9">
        <v>0.23294256210299999</v>
      </c>
      <c r="Z20" s="9"/>
      <c r="AA20" s="1"/>
      <c r="AF20" s="1"/>
      <c r="AG20" s="12"/>
    </row>
    <row r="21" spans="1:33" x14ac:dyDescent="0.25">
      <c r="A21" s="20" t="str">
        <f>_xll.QDates_FuturesNextCode(A20)</f>
        <v>COK0</v>
      </c>
      <c r="B21" s="17">
        <f>_xll.QDates_FuturesExpiryFromCode(A21)</f>
        <v>43921</v>
      </c>
      <c r="C21">
        <v>78.239999999999995</v>
      </c>
      <c r="D21" s="7">
        <v>78.195000000000007</v>
      </c>
      <c r="E21" s="21">
        <f t="shared" si="0"/>
        <v>6.7400000000000091</v>
      </c>
      <c r="F21" s="21">
        <f t="shared" si="1"/>
        <v>6.5999999999999943</v>
      </c>
      <c r="G21" s="23">
        <v>6.5999999999999943</v>
      </c>
      <c r="H21" s="24">
        <f t="shared" si="2"/>
        <v>78.195000000000007</v>
      </c>
      <c r="I21" s="6"/>
      <c r="J21" s="20" t="str">
        <f>_xll.QDates_FuturesNextCode(J20)</f>
        <v>QSH0</v>
      </c>
      <c r="K21" s="17">
        <f>_xll.QDates_FuturesExpiryFromCode(J21)</f>
        <v>43902</v>
      </c>
      <c r="L21">
        <v>720.75</v>
      </c>
      <c r="M21" s="7">
        <v>727.625</v>
      </c>
      <c r="N21" s="21">
        <f t="shared" si="3"/>
        <v>13.25</v>
      </c>
      <c r="O21" s="21">
        <f t="shared" si="4"/>
        <v>9.75</v>
      </c>
      <c r="P21" s="23">
        <v>9.75</v>
      </c>
      <c r="Q21" s="24">
        <f t="shared" si="5"/>
        <v>727.625</v>
      </c>
      <c r="R21" s="24"/>
      <c r="S21" s="26"/>
      <c r="T21" s="1">
        <f>B19</f>
        <v>43861</v>
      </c>
      <c r="U21" t="str">
        <f t="shared" si="6"/>
        <v>JAN20</v>
      </c>
      <c r="V21" s="9">
        <v>0.23833434824329849</v>
      </c>
      <c r="W21" s="27">
        <f>K19</f>
        <v>43840</v>
      </c>
      <c r="X21" t="str">
        <f t="shared" si="7"/>
        <v>JAN20</v>
      </c>
      <c r="Y21" s="9">
        <v>0.23200492858899999</v>
      </c>
      <c r="Z21" s="9"/>
      <c r="AA21" s="1"/>
      <c r="AF21" s="1"/>
      <c r="AG21" s="12"/>
    </row>
    <row r="22" spans="1:33" x14ac:dyDescent="0.25">
      <c r="A22" s="20" t="str">
        <f>_xll.QDates_FuturesNextCode(A21)</f>
        <v>COM0</v>
      </c>
      <c r="B22" s="17">
        <f>_xll.QDates_FuturesExpiryFromCode(A22)</f>
        <v>43951</v>
      </c>
      <c r="C22">
        <v>77.84</v>
      </c>
      <c r="D22" s="7">
        <v>77.83</v>
      </c>
      <c r="E22" s="21">
        <f t="shared" si="0"/>
        <v>7.1400000000000006</v>
      </c>
      <c r="F22" s="21">
        <f t="shared" si="1"/>
        <v>6.9650000000000034</v>
      </c>
      <c r="G22" s="23">
        <v>6.9650000000000034</v>
      </c>
      <c r="H22" s="24">
        <f t="shared" si="2"/>
        <v>77.83</v>
      </c>
      <c r="I22" s="6"/>
      <c r="J22" s="20" t="str">
        <f>_xll.QDates_FuturesNextCode(J21)</f>
        <v>QSJ0</v>
      </c>
      <c r="K22" s="17">
        <f>_xll.QDates_FuturesExpiryFromCode(J22)</f>
        <v>43929</v>
      </c>
      <c r="L22">
        <v>718</v>
      </c>
      <c r="M22" s="7">
        <v>725.5</v>
      </c>
      <c r="N22" s="21">
        <f t="shared" si="3"/>
        <v>16</v>
      </c>
      <c r="O22" s="21">
        <f t="shared" si="4"/>
        <v>11.875</v>
      </c>
      <c r="P22" s="23">
        <v>11.875</v>
      </c>
      <c r="Q22" s="24">
        <f t="shared" si="5"/>
        <v>725.5</v>
      </c>
      <c r="R22" s="24"/>
      <c r="S22" s="26"/>
      <c r="T22" s="1">
        <f>B20</f>
        <v>43889</v>
      </c>
      <c r="U22" t="str">
        <f t="shared" si="6"/>
        <v>FEB20</v>
      </c>
      <c r="V22" s="9">
        <v>0.23866630909631376</v>
      </c>
      <c r="W22" s="27">
        <f>K20</f>
        <v>43873</v>
      </c>
      <c r="X22" t="str">
        <f t="shared" si="7"/>
        <v>FEB20</v>
      </c>
      <c r="Y22" s="9">
        <v>0.23174484252900002</v>
      </c>
      <c r="Z22" s="9"/>
      <c r="AA22" s="1"/>
      <c r="AF22" s="1"/>
      <c r="AG22" s="12"/>
    </row>
    <row r="23" spans="1:33" x14ac:dyDescent="0.25">
      <c r="A23" s="20" t="str">
        <f>_xll.QDates_FuturesNextCode(A22)</f>
        <v>CON0</v>
      </c>
      <c r="B23" s="17">
        <f>_xll.QDates_FuturesExpiryFromCode(A23)</f>
        <v>43980</v>
      </c>
      <c r="C23">
        <v>77.44</v>
      </c>
      <c r="D23" s="7">
        <v>77.41</v>
      </c>
      <c r="E23" s="21">
        <f t="shared" si="0"/>
        <v>7.5400000000000063</v>
      </c>
      <c r="F23" s="21">
        <f t="shared" si="1"/>
        <v>7.3850000000000051</v>
      </c>
      <c r="G23" s="23">
        <v>7.3850000000000051</v>
      </c>
      <c r="H23" s="24">
        <f t="shared" si="2"/>
        <v>77.41</v>
      </c>
      <c r="I23" s="6"/>
      <c r="J23" s="20" t="str">
        <f>_xll.QDates_FuturesNextCode(J22)</f>
        <v>QSK0</v>
      </c>
      <c r="K23" s="17">
        <f>_xll.QDates_FuturesExpiryFromCode(J23)</f>
        <v>43963</v>
      </c>
      <c r="L23">
        <v>714.5</v>
      </c>
      <c r="M23" s="7">
        <v>722.125</v>
      </c>
      <c r="N23" s="21">
        <f t="shared" si="3"/>
        <v>19.5</v>
      </c>
      <c r="O23" s="21">
        <f t="shared" si="4"/>
        <v>15.25</v>
      </c>
      <c r="P23" s="23">
        <v>15.25</v>
      </c>
      <c r="Q23" s="24">
        <f t="shared" si="5"/>
        <v>722.125</v>
      </c>
      <c r="R23" s="24"/>
      <c r="S23" s="26"/>
      <c r="T23" s="1">
        <f>B21</f>
        <v>43921</v>
      </c>
      <c r="U23" t="str">
        <f t="shared" si="6"/>
        <v>MAR20</v>
      </c>
      <c r="V23" s="9">
        <v>0.23886859928218251</v>
      </c>
      <c r="W23" s="27">
        <f>K21</f>
        <v>43902</v>
      </c>
      <c r="X23" t="str">
        <f t="shared" si="7"/>
        <v>MAR20</v>
      </c>
      <c r="Y23" s="9">
        <v>0.23157245635999998</v>
      </c>
      <c r="Z23" s="9"/>
      <c r="AA23" s="1"/>
      <c r="AF23" s="1"/>
      <c r="AG23" s="12"/>
    </row>
    <row r="24" spans="1:33" x14ac:dyDescent="0.25">
      <c r="A24" s="20" t="str">
        <f>_xll.QDates_FuturesNextCode(A23)</f>
        <v>COQ0</v>
      </c>
      <c r="B24" s="17">
        <f>_xll.QDates_FuturesExpiryFromCode(A24)</f>
        <v>44012</v>
      </c>
      <c r="C24">
        <v>77.040000000000006</v>
      </c>
      <c r="D24" s="7">
        <v>77.010000000000005</v>
      </c>
      <c r="E24" s="21">
        <f t="shared" si="0"/>
        <v>7.9399999999999977</v>
      </c>
      <c r="F24" s="21">
        <f t="shared" si="1"/>
        <v>7.7849999999999966</v>
      </c>
      <c r="G24" s="23">
        <v>7.7849999999999966</v>
      </c>
      <c r="H24" s="24">
        <f t="shared" si="2"/>
        <v>77.010000000000005</v>
      </c>
      <c r="I24" s="6"/>
      <c r="J24" s="20" t="str">
        <f>_xll.QDates_FuturesNextCode(J23)</f>
        <v>QSM0</v>
      </c>
      <c r="K24" s="17">
        <f>_xll.QDates_FuturesExpiryFromCode(J24)</f>
        <v>43993</v>
      </c>
      <c r="L24">
        <v>710.5</v>
      </c>
      <c r="M24" s="7">
        <v>715.375</v>
      </c>
      <c r="N24" s="21">
        <f t="shared" si="3"/>
        <v>23.5</v>
      </c>
      <c r="O24" s="21">
        <f t="shared" si="4"/>
        <v>22</v>
      </c>
      <c r="P24" s="23">
        <v>22</v>
      </c>
      <c r="Q24" s="24">
        <f t="shared" si="5"/>
        <v>715.375</v>
      </c>
      <c r="R24" s="24"/>
      <c r="S24" s="26"/>
      <c r="T24" s="1">
        <f>B22</f>
        <v>43951</v>
      </c>
      <c r="U24" t="str">
        <f t="shared" si="6"/>
        <v>APR20</v>
      </c>
      <c r="V24" s="9">
        <v>0.23651974364962741</v>
      </c>
      <c r="W24" s="27">
        <f>K22</f>
        <v>43929</v>
      </c>
      <c r="X24" t="str">
        <f t="shared" si="7"/>
        <v>APR20</v>
      </c>
      <c r="Y24" s="9">
        <v>0.23096782684299999</v>
      </c>
      <c r="Z24" s="9"/>
      <c r="AA24" s="1"/>
      <c r="AF24" s="1"/>
      <c r="AG24" s="12"/>
    </row>
    <row r="25" spans="1:33" x14ac:dyDescent="0.25">
      <c r="A25" s="20" t="str">
        <f>_xll.QDates_FuturesNextCode(A24)</f>
        <v>COU0</v>
      </c>
      <c r="B25" s="17">
        <f>_xll.QDates_FuturesExpiryFromCode(A25)</f>
        <v>44043</v>
      </c>
      <c r="C25">
        <v>76.64</v>
      </c>
      <c r="D25" s="7">
        <v>76.625</v>
      </c>
      <c r="E25" s="21">
        <f t="shared" si="0"/>
        <v>8.3400000000000034</v>
      </c>
      <c r="F25" s="21">
        <f t="shared" si="1"/>
        <v>8.1700000000000017</v>
      </c>
      <c r="G25" s="23">
        <v>8.1700000000000017</v>
      </c>
      <c r="H25" s="24">
        <f t="shared" si="2"/>
        <v>76.625</v>
      </c>
      <c r="I25" s="6"/>
      <c r="J25" s="20" t="str">
        <f>_xll.QDates_FuturesNextCode(J24)</f>
        <v>QSN0</v>
      </c>
      <c r="K25" s="17">
        <f>_xll.QDates_FuturesExpiryFromCode(J25)</f>
        <v>44022</v>
      </c>
      <c r="L25">
        <v>708.25</v>
      </c>
      <c r="M25" s="7" t="s">
        <v>70</v>
      </c>
      <c r="N25" s="21">
        <f t="shared" si="3"/>
        <v>25.75</v>
      </c>
      <c r="O25" s="21" t="str">
        <f t="shared" si="4"/>
        <v/>
      </c>
      <c r="P25" s="23">
        <v>24.104166666666668</v>
      </c>
      <c r="Q25" s="24">
        <f t="shared" si="5"/>
        <v>713.27083333333337</v>
      </c>
      <c r="R25" s="24"/>
      <c r="S25" s="26"/>
      <c r="T25" s="1">
        <f>B23</f>
        <v>43980</v>
      </c>
      <c r="U25" t="str">
        <f t="shared" si="6"/>
        <v>MAY20</v>
      </c>
      <c r="V25" s="9">
        <v>0.23583928805207185</v>
      </c>
      <c r="W25" s="27">
        <f>K23</f>
        <v>43963</v>
      </c>
      <c r="X25" t="str">
        <f t="shared" si="7"/>
        <v>MAY20</v>
      </c>
      <c r="Y25" s="9">
        <v>0.230781154633</v>
      </c>
      <c r="Z25" s="9"/>
      <c r="AA25" s="1"/>
      <c r="AF25" s="1"/>
      <c r="AG25" s="12"/>
    </row>
    <row r="26" spans="1:33" x14ac:dyDescent="0.25">
      <c r="A26" s="20" t="str">
        <f>_xll.QDates_FuturesNextCode(A25)</f>
        <v>COV0</v>
      </c>
      <c r="B26" s="17">
        <f>_xll.QDates_FuturesExpiryFromCode(A26)</f>
        <v>44071</v>
      </c>
      <c r="C26">
        <v>76.25</v>
      </c>
      <c r="D26" s="7">
        <v>76.239999999999995</v>
      </c>
      <c r="E26" s="21">
        <f t="shared" si="0"/>
        <v>8.730000000000004</v>
      </c>
      <c r="F26" s="21">
        <f t="shared" si="1"/>
        <v>8.5550000000000068</v>
      </c>
      <c r="G26" s="23">
        <v>8.5550000000000068</v>
      </c>
      <c r="H26" s="24">
        <f t="shared" si="2"/>
        <v>76.239999999999995</v>
      </c>
      <c r="I26" s="6"/>
      <c r="J26" s="20" t="str">
        <f>_xll.QDates_FuturesNextCode(J25)</f>
        <v>QSQ0</v>
      </c>
      <c r="K26" s="17">
        <f>_xll.QDates_FuturesExpiryFromCode(J26)</f>
        <v>44055</v>
      </c>
      <c r="L26">
        <v>705.5</v>
      </c>
      <c r="M26" s="7" t="s">
        <v>70</v>
      </c>
      <c r="N26" s="21">
        <f t="shared" si="3"/>
        <v>28.5</v>
      </c>
      <c r="O26" s="21" t="str">
        <f t="shared" si="4"/>
        <v/>
      </c>
      <c r="P26" s="23">
        <v>26.708333333333332</v>
      </c>
      <c r="Q26" s="24">
        <f t="shared" si="5"/>
        <v>710.66666666666663</v>
      </c>
      <c r="R26" s="24"/>
      <c r="S26" s="26"/>
      <c r="T26" s="1">
        <f>B24</f>
        <v>44012</v>
      </c>
      <c r="U26" t="str">
        <f t="shared" si="6"/>
        <v>JUN20</v>
      </c>
      <c r="V26" s="9">
        <v>0.23501166759554296</v>
      </c>
      <c r="W26" s="27">
        <f>K24</f>
        <v>43993</v>
      </c>
      <c r="X26" t="str">
        <f t="shared" si="7"/>
        <v>JUN20</v>
      </c>
      <c r="Y26" s="9">
        <v>0.23083705902099999</v>
      </c>
      <c r="Z26" s="9"/>
      <c r="AA26" s="1"/>
      <c r="AF26" s="1"/>
      <c r="AG26" s="12"/>
    </row>
    <row r="27" spans="1:33" x14ac:dyDescent="0.25">
      <c r="A27" s="20" t="str">
        <f>_xll.QDates_FuturesNextCode(A26)</f>
        <v>COX0</v>
      </c>
      <c r="B27" s="17">
        <f>_xll.QDates_FuturesExpiryFromCode(A27)</f>
        <v>44104</v>
      </c>
      <c r="C27">
        <v>75.88</v>
      </c>
      <c r="D27" s="7">
        <v>75.894999999999996</v>
      </c>
      <c r="E27" s="21">
        <f t="shared" si="0"/>
        <v>9.1000000000000085</v>
      </c>
      <c r="F27" s="21">
        <f t="shared" si="1"/>
        <v>8.9000000000000057</v>
      </c>
      <c r="G27" s="23">
        <v>8.9000000000000057</v>
      </c>
      <c r="H27" s="24">
        <f t="shared" si="2"/>
        <v>75.894999999999996</v>
      </c>
      <c r="I27" s="6"/>
      <c r="J27" s="20" t="str">
        <f>_xll.QDates_FuturesNextCode(J26)</f>
        <v>QSU0</v>
      </c>
      <c r="K27" s="17">
        <f>_xll.QDates_FuturesExpiryFromCode(J27)</f>
        <v>44084</v>
      </c>
      <c r="L27">
        <v>702.25</v>
      </c>
      <c r="M27" s="7" t="s">
        <v>70</v>
      </c>
      <c r="N27" s="21">
        <f t="shared" si="3"/>
        <v>31.75</v>
      </c>
      <c r="O27" s="21" t="str">
        <f t="shared" si="4"/>
        <v/>
      </c>
      <c r="P27" s="23">
        <v>29.8125</v>
      </c>
      <c r="Q27" s="24">
        <f t="shared" si="5"/>
        <v>707.5625</v>
      </c>
      <c r="R27" s="24"/>
      <c r="S27" s="26"/>
      <c r="T27" s="1">
        <f>B25</f>
        <v>44043</v>
      </c>
      <c r="U27" t="str">
        <f t="shared" si="6"/>
        <v>JUL20</v>
      </c>
      <c r="V27" s="9">
        <v>0.2338232775548611</v>
      </c>
      <c r="W27" s="27">
        <f>K25</f>
        <v>44022</v>
      </c>
      <c r="X27" t="str">
        <f t="shared" si="7"/>
        <v>JUL20</v>
      </c>
      <c r="Y27" s="9">
        <v>0.23019849777200002</v>
      </c>
      <c r="Z27" s="9"/>
      <c r="AA27" s="1"/>
      <c r="AF27" s="1"/>
      <c r="AG27" s="12"/>
    </row>
    <row r="28" spans="1:33" x14ac:dyDescent="0.25">
      <c r="A28" s="20" t="str">
        <f>_xll.QDates_FuturesNextCode(A27)</f>
        <v>COZ0</v>
      </c>
      <c r="B28" s="17">
        <f>_xll.QDates_FuturesExpiryFromCode(A28)</f>
        <v>44134</v>
      </c>
      <c r="C28">
        <v>75.5</v>
      </c>
      <c r="D28" s="7">
        <v>75.56</v>
      </c>
      <c r="E28" s="21">
        <f t="shared" si="0"/>
        <v>9.480000000000004</v>
      </c>
      <c r="F28" s="21">
        <f t="shared" si="1"/>
        <v>9.2349999999999994</v>
      </c>
      <c r="G28" s="23">
        <v>9.2349999999999994</v>
      </c>
      <c r="H28" s="24">
        <f t="shared" si="2"/>
        <v>75.56</v>
      </c>
      <c r="I28" s="6"/>
      <c r="J28" s="20" t="str">
        <f>_xll.QDates_FuturesNextCode(J27)</f>
        <v>QSV0</v>
      </c>
      <c r="K28" s="17">
        <f>_xll.QDates_FuturesExpiryFromCode(J28)</f>
        <v>44116</v>
      </c>
      <c r="L28">
        <v>699.5</v>
      </c>
      <c r="M28" s="7" t="s">
        <v>70</v>
      </c>
      <c r="N28" s="21">
        <f t="shared" si="3"/>
        <v>34.5</v>
      </c>
      <c r="O28" s="21" t="str">
        <f t="shared" si="4"/>
        <v/>
      </c>
      <c r="P28" s="23">
        <v>32.416666666666664</v>
      </c>
      <c r="Q28" s="24">
        <f t="shared" si="5"/>
        <v>704.95833333333337</v>
      </c>
      <c r="R28" s="24"/>
      <c r="S28" s="26"/>
      <c r="T28" s="1">
        <f>B26</f>
        <v>44071</v>
      </c>
      <c r="U28" t="str">
        <f t="shared" si="6"/>
        <v>AUG20</v>
      </c>
      <c r="V28" s="9">
        <v>0.23311565880682511</v>
      </c>
      <c r="W28" s="27">
        <f>K26</f>
        <v>44055</v>
      </c>
      <c r="X28" t="str">
        <f t="shared" si="7"/>
        <v>AUG20</v>
      </c>
      <c r="Y28" s="9">
        <v>0.23019849777200002</v>
      </c>
      <c r="Z28" s="9"/>
      <c r="AA28" s="1"/>
      <c r="AF28" s="1"/>
      <c r="AG28" s="12"/>
    </row>
    <row r="29" spans="1:33" x14ac:dyDescent="0.25">
      <c r="A29" s="20" t="str">
        <f>_xll.QDates_FuturesNextCode(A28)</f>
        <v>COF1</v>
      </c>
      <c r="B29" s="17">
        <f>_xll.QDates_FuturesExpiryFromCode(A29)</f>
        <v>44165</v>
      </c>
      <c r="C29">
        <v>75.14</v>
      </c>
      <c r="D29" s="7">
        <v>75.17</v>
      </c>
      <c r="E29" s="21">
        <f t="shared" si="0"/>
        <v>9.8400000000000034</v>
      </c>
      <c r="F29" s="21">
        <f t="shared" si="1"/>
        <v>9.625</v>
      </c>
      <c r="G29" s="23">
        <v>9.625</v>
      </c>
      <c r="H29" s="24">
        <f t="shared" si="2"/>
        <v>75.17</v>
      </c>
      <c r="I29" s="6"/>
      <c r="J29" s="20" t="str">
        <f>_xll.QDates_FuturesNextCode(J28)</f>
        <v>QSX0</v>
      </c>
      <c r="K29" s="17">
        <f>_xll.QDates_FuturesExpiryFromCode(J29)</f>
        <v>44147</v>
      </c>
      <c r="L29">
        <v>694.75</v>
      </c>
      <c r="M29" s="7" t="s">
        <v>70</v>
      </c>
      <c r="N29" s="21">
        <f t="shared" si="3"/>
        <v>39.25</v>
      </c>
      <c r="O29" s="21" t="str">
        <f t="shared" si="4"/>
        <v/>
      </c>
      <c r="P29" s="23">
        <v>37.020833333333336</v>
      </c>
      <c r="Q29" s="24">
        <f t="shared" si="5"/>
        <v>700.35416666666663</v>
      </c>
      <c r="R29" s="24"/>
      <c r="S29" s="26"/>
      <c r="T29" s="1">
        <f>B27</f>
        <v>44104</v>
      </c>
      <c r="U29" t="str">
        <f t="shared" si="6"/>
        <v>SEP20</v>
      </c>
      <c r="V29" s="9">
        <v>0.23220727828069521</v>
      </c>
      <c r="W29" s="9"/>
      <c r="Y29" s="9"/>
      <c r="Z29" s="9"/>
      <c r="AA29" s="1"/>
      <c r="AF29" s="1"/>
      <c r="AG29" s="12"/>
    </row>
    <row r="30" spans="1:33" x14ac:dyDescent="0.25">
      <c r="A30" s="20" t="str">
        <f>_xll.QDates_FuturesNextCode(A29)</f>
        <v>COG1</v>
      </c>
      <c r="B30" s="17">
        <f>_xll.QDates_FuturesExpiryFromCode(A30)</f>
        <v>44196</v>
      </c>
      <c r="C30">
        <v>74.790000000000006</v>
      </c>
      <c r="D30" s="7">
        <v>74.820000000000007</v>
      </c>
      <c r="E30" s="21">
        <f t="shared" si="0"/>
        <v>10.189999999999998</v>
      </c>
      <c r="F30" s="21">
        <f t="shared" si="1"/>
        <v>9.9749999999999943</v>
      </c>
      <c r="G30" s="23">
        <v>9.9749999999999943</v>
      </c>
      <c r="H30" s="24">
        <f t="shared" si="2"/>
        <v>74.820000000000007</v>
      </c>
      <c r="I30" s="6"/>
      <c r="J30" s="20" t="str">
        <f>_xll.QDates_FuturesNextCode(J29)</f>
        <v>QSZ0</v>
      </c>
      <c r="K30" s="17">
        <f>_xll.QDates_FuturesExpiryFromCode(J30)</f>
        <v>44175</v>
      </c>
      <c r="L30">
        <v>690.25</v>
      </c>
      <c r="M30" s="7">
        <v>696</v>
      </c>
      <c r="N30" s="21">
        <f t="shared" si="3"/>
        <v>43.75</v>
      </c>
      <c r="O30" s="21">
        <f t="shared" si="4"/>
        <v>41.375</v>
      </c>
      <c r="P30" s="23">
        <v>41.375</v>
      </c>
      <c r="Q30" s="24">
        <f t="shared" si="5"/>
        <v>696</v>
      </c>
      <c r="R30" s="24"/>
      <c r="S30" s="26"/>
      <c r="T30" s="1">
        <f>B28</f>
        <v>44134</v>
      </c>
      <c r="U30" t="str">
        <f t="shared" si="6"/>
        <v>OCT20</v>
      </c>
      <c r="V30" s="9">
        <v>0.23228318970519374</v>
      </c>
      <c r="W30" s="9"/>
      <c r="Y30" s="9"/>
      <c r="Z30" s="9"/>
      <c r="AA30" s="1"/>
      <c r="AF30" s="1"/>
      <c r="AG30" s="12"/>
    </row>
    <row r="31" spans="1:33" x14ac:dyDescent="0.25">
      <c r="A31" s="20" t="str">
        <f>_xll.QDates_FuturesNextCode(A30)</f>
        <v>COH1</v>
      </c>
      <c r="B31" s="17">
        <f>_xll.QDates_FuturesExpiryFromCode(A31)</f>
        <v>44225</v>
      </c>
      <c r="C31">
        <v>74.460000000000008</v>
      </c>
      <c r="D31" s="7">
        <v>74.495000000000005</v>
      </c>
      <c r="E31" s="21">
        <f t="shared" si="0"/>
        <v>10.519999999999996</v>
      </c>
      <c r="F31" s="21">
        <f t="shared" si="1"/>
        <v>10.299999999999997</v>
      </c>
      <c r="G31" s="23">
        <v>10.299999999999997</v>
      </c>
      <c r="H31" s="24">
        <f t="shared" si="2"/>
        <v>74.495000000000005</v>
      </c>
      <c r="I31" s="6"/>
      <c r="J31" s="20" t="str">
        <f>_xll.QDates_FuturesNextCode(J30)</f>
        <v>QSF1</v>
      </c>
      <c r="K31" s="17">
        <f>_xll.QDates_FuturesExpiryFromCode(J31)</f>
        <v>44208</v>
      </c>
      <c r="L31">
        <v>688.25</v>
      </c>
      <c r="M31" s="7" t="s">
        <v>70</v>
      </c>
      <c r="N31" s="21">
        <f t="shared" si="3"/>
        <v>45.75</v>
      </c>
      <c r="O31" s="21" t="str">
        <f t="shared" si="4"/>
        <v/>
      </c>
      <c r="P31" s="23">
        <v>43.770833333333336</v>
      </c>
      <c r="Q31" s="24">
        <f t="shared" si="5"/>
        <v>693.60416666666663</v>
      </c>
      <c r="R31" s="24"/>
      <c r="S31" s="26"/>
      <c r="T31" s="1">
        <f>B29</f>
        <v>44165</v>
      </c>
      <c r="U31" t="str">
        <f t="shared" si="6"/>
        <v>NOV20</v>
      </c>
      <c r="V31" s="9">
        <v>0.2304832266054295</v>
      </c>
      <c r="W31" s="9"/>
      <c r="Y31" s="9"/>
      <c r="Z31" s="9"/>
      <c r="AA31" s="1"/>
      <c r="AF31" s="1"/>
      <c r="AG31" s="12"/>
    </row>
    <row r="32" spans="1:33" x14ac:dyDescent="0.25">
      <c r="A32" s="20" t="str">
        <f>_xll.QDates_FuturesNextCode(A31)</f>
        <v>COJ1</v>
      </c>
      <c r="B32" s="17">
        <f>_xll.QDates_FuturesExpiryFromCode(A32)</f>
        <v>44253</v>
      </c>
      <c r="C32">
        <v>74.14</v>
      </c>
      <c r="D32" s="7" t="s">
        <v>70</v>
      </c>
      <c r="E32" s="21">
        <f t="shared" si="0"/>
        <v>10.840000000000003</v>
      </c>
      <c r="F32" s="21" t="str">
        <f t="shared" si="1"/>
        <v/>
      </c>
      <c r="G32" s="23">
        <v>10.593333333333339</v>
      </c>
      <c r="H32" s="24">
        <f t="shared" si="2"/>
        <v>74.201666666666668</v>
      </c>
      <c r="I32" s="6"/>
      <c r="J32" s="20" t="str">
        <f>_xll.QDates_FuturesNextCode(J31)</f>
        <v>QSG1</v>
      </c>
      <c r="K32" s="17">
        <f>_xll.QDates_FuturesExpiryFromCode(J32)</f>
        <v>44238</v>
      </c>
      <c r="L32">
        <v>686</v>
      </c>
      <c r="M32" s="7" t="s">
        <v>70</v>
      </c>
      <c r="N32" s="21">
        <f t="shared" si="3"/>
        <v>48</v>
      </c>
      <c r="O32" s="21" t="str">
        <f t="shared" si="4"/>
        <v/>
      </c>
      <c r="P32" s="23">
        <v>46.416666666666664</v>
      </c>
      <c r="Q32" s="24">
        <f t="shared" si="5"/>
        <v>690.95833333333337</v>
      </c>
      <c r="R32" s="24"/>
      <c r="S32" s="26"/>
      <c r="T32" s="1">
        <f>B30</f>
        <v>44196</v>
      </c>
      <c r="U32" t="str">
        <f t="shared" si="6"/>
        <v>DEC20</v>
      </c>
      <c r="V32" s="9">
        <v>0.22975893983968401</v>
      </c>
      <c r="W32" s="9"/>
      <c r="Y32" s="9"/>
      <c r="Z32" s="9"/>
      <c r="AA32" s="1"/>
      <c r="AF32" s="1"/>
      <c r="AG32" s="12"/>
    </row>
    <row r="33" spans="1:33" x14ac:dyDescent="0.25">
      <c r="A33" s="20" t="str">
        <f>_xll.QDates_FuturesNextCode(A32)</f>
        <v>COK1</v>
      </c>
      <c r="B33" s="17">
        <f>_xll.QDates_FuturesExpiryFromCode(A33)</f>
        <v>44286</v>
      </c>
      <c r="C33">
        <v>73.820000000000007</v>
      </c>
      <c r="D33" s="7" t="s">
        <v>70</v>
      </c>
      <c r="E33" s="21">
        <f t="shared" si="0"/>
        <v>11.159999999999997</v>
      </c>
      <c r="F33" s="21" t="str">
        <f t="shared" si="1"/>
        <v/>
      </c>
      <c r="G33" s="23">
        <v>10.886666666666665</v>
      </c>
      <c r="H33" s="24">
        <f t="shared" si="2"/>
        <v>73.908333333333331</v>
      </c>
      <c r="I33" s="6"/>
      <c r="J33" s="20" t="str">
        <f>_xll.QDates_FuturesNextCode(J32)</f>
        <v>QSH1</v>
      </c>
      <c r="K33" s="17">
        <f>_xll.QDates_FuturesExpiryFromCode(J33)</f>
        <v>44266</v>
      </c>
      <c r="L33">
        <v>683.5</v>
      </c>
      <c r="M33" s="7" t="s">
        <v>70</v>
      </c>
      <c r="N33" s="21">
        <f t="shared" si="3"/>
        <v>50.5</v>
      </c>
      <c r="O33" s="21" t="str">
        <f t="shared" si="4"/>
        <v/>
      </c>
      <c r="P33" s="23">
        <v>49.3125</v>
      </c>
      <c r="Q33" s="24">
        <f t="shared" si="5"/>
        <v>688.0625</v>
      </c>
      <c r="R33" s="24"/>
      <c r="S33" s="26"/>
      <c r="T33" s="1">
        <f>B31</f>
        <v>44225</v>
      </c>
      <c r="U33" t="str">
        <f t="shared" si="6"/>
        <v>JAN21</v>
      </c>
      <c r="V33" s="9">
        <v>0.2286697161363356</v>
      </c>
      <c r="W33" s="9"/>
      <c r="Y33" s="9"/>
      <c r="Z33" s="9"/>
      <c r="AA33" s="1"/>
      <c r="AF33" s="1"/>
      <c r="AG33" s="12"/>
    </row>
    <row r="34" spans="1:33" x14ac:dyDescent="0.25">
      <c r="A34" s="20" t="str">
        <f>_xll.QDates_FuturesNextCode(A33)</f>
        <v>COM1</v>
      </c>
      <c r="B34" s="17">
        <f>_xll.QDates_FuturesExpiryFromCode(A34)</f>
        <v>44316</v>
      </c>
      <c r="C34">
        <v>73.5</v>
      </c>
      <c r="D34" s="7">
        <v>73.614999999999995</v>
      </c>
      <c r="E34" s="21">
        <f t="shared" si="0"/>
        <v>11.480000000000004</v>
      </c>
      <c r="F34" s="21">
        <f t="shared" si="1"/>
        <v>11.180000000000007</v>
      </c>
      <c r="G34" s="23">
        <v>11.180000000000007</v>
      </c>
      <c r="H34" s="24">
        <f t="shared" si="2"/>
        <v>73.614999999999995</v>
      </c>
      <c r="I34" s="6"/>
      <c r="J34" s="20" t="str">
        <f>_xll.QDates_FuturesNextCode(J33)</f>
        <v>QSJ1</v>
      </c>
      <c r="K34" s="17">
        <f>_xll.QDates_FuturesExpiryFromCode(J34)</f>
        <v>44298</v>
      </c>
      <c r="L34">
        <v>681</v>
      </c>
      <c r="M34" s="7" t="s">
        <v>70</v>
      </c>
      <c r="N34" s="21">
        <f t="shared" si="3"/>
        <v>53</v>
      </c>
      <c r="O34" s="21" t="str">
        <f t="shared" si="4"/>
        <v/>
      </c>
      <c r="P34" s="23">
        <v>52.208333333333336</v>
      </c>
      <c r="Q34" s="24">
        <f t="shared" si="5"/>
        <v>685.16666666666663</v>
      </c>
      <c r="R34" s="24"/>
      <c r="S34" s="26"/>
      <c r="T34" s="1">
        <f>B32</f>
        <v>44253</v>
      </c>
      <c r="U34" t="str">
        <f t="shared" si="6"/>
        <v>FEB21</v>
      </c>
      <c r="V34" s="9">
        <v>0.22827221428893943</v>
      </c>
      <c r="W34" s="9"/>
      <c r="Y34" s="9"/>
      <c r="Z34" s="9"/>
      <c r="AA34" s="1"/>
      <c r="AF34" s="1"/>
      <c r="AG34" s="12"/>
    </row>
    <row r="35" spans="1:33" x14ac:dyDescent="0.25">
      <c r="A35" s="20" t="str">
        <f>_xll.QDates_FuturesNextCode(A34)</f>
        <v>CON1</v>
      </c>
      <c r="B35" s="17">
        <f>_xll.QDates_FuturesExpiryFromCode(A35)</f>
        <v>44344</v>
      </c>
      <c r="C35">
        <v>73.180000000000007</v>
      </c>
      <c r="D35" s="7" t="s">
        <v>70</v>
      </c>
      <c r="E35" s="21">
        <f t="shared" si="0"/>
        <v>11.799999999999997</v>
      </c>
      <c r="F35" s="21" t="str">
        <f t="shared" si="1"/>
        <v/>
      </c>
      <c r="G35" s="23">
        <v>11.499166666666666</v>
      </c>
      <c r="H35" s="24">
        <f t="shared" si="2"/>
        <v>73.295833333333334</v>
      </c>
      <c r="I35" s="6"/>
      <c r="J35" s="20" t="str">
        <f>_xll.QDates_FuturesNextCode(J34)</f>
        <v>QSK1</v>
      </c>
      <c r="K35" s="17">
        <f>_xll.QDates_FuturesExpiryFromCode(J35)</f>
        <v>44328</v>
      </c>
      <c r="L35">
        <v>678.5</v>
      </c>
      <c r="M35" s="7" t="s">
        <v>70</v>
      </c>
      <c r="N35" s="21">
        <f t="shared" si="3"/>
        <v>55.5</v>
      </c>
      <c r="O35" s="21" t="str">
        <f t="shared" si="4"/>
        <v/>
      </c>
      <c r="P35" s="23">
        <v>55.104166666666664</v>
      </c>
      <c r="Q35" s="24">
        <f t="shared" si="5"/>
        <v>682.27083333333337</v>
      </c>
      <c r="R35" s="24"/>
      <c r="S35" s="26"/>
      <c r="T35" s="1">
        <f>B33</f>
        <v>44286</v>
      </c>
      <c r="U35" t="str">
        <f t="shared" si="6"/>
        <v>MAR21</v>
      </c>
      <c r="V35" s="9">
        <v>0.22753354930223155</v>
      </c>
      <c r="W35" s="9"/>
      <c r="Y35" s="9"/>
      <c r="Z35" s="9"/>
      <c r="AA35" s="1"/>
      <c r="AF35" s="1"/>
      <c r="AG35" s="12"/>
    </row>
    <row r="36" spans="1:33" x14ac:dyDescent="0.25">
      <c r="A36" s="20" t="str">
        <f>_xll.QDates_FuturesNextCode(A35)</f>
        <v>COQ1</v>
      </c>
      <c r="B36" s="17">
        <f>_xll.QDates_FuturesExpiryFromCode(A36)</f>
        <v>44377</v>
      </c>
      <c r="C36">
        <v>72.86</v>
      </c>
      <c r="D36" s="7" t="s">
        <v>70</v>
      </c>
      <c r="E36" s="21">
        <f t="shared" si="0"/>
        <v>12.120000000000005</v>
      </c>
      <c r="F36" s="21" t="str">
        <f t="shared" si="1"/>
        <v/>
      </c>
      <c r="G36" s="23">
        <v>11.818333333333337</v>
      </c>
      <c r="H36" s="24">
        <f t="shared" si="2"/>
        <v>72.976666666666659</v>
      </c>
      <c r="I36" s="6"/>
      <c r="J36" s="20" t="str">
        <f>_xll.QDates_FuturesNextCode(J35)</f>
        <v>QSM1</v>
      </c>
      <c r="K36" s="17">
        <f>_xll.QDates_FuturesExpiryFromCode(J36)</f>
        <v>44357</v>
      </c>
      <c r="L36">
        <v>675.5</v>
      </c>
      <c r="M36" s="7">
        <v>678.875</v>
      </c>
      <c r="N36" s="21">
        <f t="shared" si="3"/>
        <v>58.5</v>
      </c>
      <c r="O36" s="21">
        <f t="shared" si="4"/>
        <v>58.5</v>
      </c>
      <c r="P36" s="23">
        <v>58.5</v>
      </c>
      <c r="Q36" s="24">
        <f t="shared" si="5"/>
        <v>678.875</v>
      </c>
      <c r="R36" s="24"/>
      <c r="S36" s="26"/>
      <c r="T36" s="1">
        <f>B34</f>
        <v>44316</v>
      </c>
      <c r="U36" t="str">
        <f t="shared" si="6"/>
        <v>APR21</v>
      </c>
      <c r="V36" s="9">
        <v>0.22635730912723237</v>
      </c>
      <c r="W36" s="9"/>
      <c r="Y36" s="9"/>
      <c r="Z36" s="9"/>
      <c r="AA36" s="1"/>
      <c r="AF36" s="1"/>
      <c r="AG36" s="12"/>
    </row>
    <row r="37" spans="1:33" x14ac:dyDescent="0.25">
      <c r="A37" s="20" t="str">
        <f>_xll.QDates_FuturesNextCode(A36)</f>
        <v>COU1</v>
      </c>
      <c r="B37" s="17">
        <f>_xll.QDates_FuturesExpiryFromCode(A37)</f>
        <v>44407</v>
      </c>
      <c r="C37">
        <v>72.58</v>
      </c>
      <c r="D37" s="7" t="s">
        <v>70</v>
      </c>
      <c r="E37" s="21">
        <f t="shared" si="0"/>
        <v>12.400000000000006</v>
      </c>
      <c r="F37" s="21" t="str">
        <f t="shared" si="1"/>
        <v/>
      </c>
      <c r="G37" s="23">
        <v>12.097500000000004</v>
      </c>
      <c r="H37" s="24">
        <f t="shared" si="2"/>
        <v>72.697499999999991</v>
      </c>
      <c r="I37" s="6"/>
      <c r="J37" s="20" t="str">
        <f>_xll.QDates_FuturesNextCode(J36)</f>
        <v>QSN1</v>
      </c>
      <c r="K37" s="17">
        <f>_xll.QDates_FuturesExpiryFromCode(J37)</f>
        <v>44389</v>
      </c>
      <c r="L37">
        <v>672.5</v>
      </c>
      <c r="M37" s="7" t="s">
        <v>70</v>
      </c>
      <c r="N37" s="21">
        <f t="shared" si="3"/>
        <v>61.5</v>
      </c>
      <c r="O37" s="21" t="str">
        <f t="shared" si="4"/>
        <v/>
      </c>
      <c r="P37" s="23">
        <v>61.208333333333336</v>
      </c>
      <c r="Q37" s="24">
        <f t="shared" si="5"/>
        <v>676.16666666666663</v>
      </c>
      <c r="R37" s="24"/>
      <c r="S37" s="26"/>
      <c r="T37" s="1">
        <f>B35</f>
        <v>44344</v>
      </c>
      <c r="U37" t="str">
        <f t="shared" si="6"/>
        <v>MAY21</v>
      </c>
      <c r="V37" s="9">
        <v>0.22591030327086281</v>
      </c>
      <c r="W37" s="9"/>
      <c r="Y37" s="9"/>
      <c r="Z37" s="9"/>
      <c r="AA37" s="1"/>
      <c r="AF37" s="1"/>
      <c r="AG37" s="12"/>
    </row>
    <row r="38" spans="1:33" x14ac:dyDescent="0.25">
      <c r="A38" s="20" t="str">
        <f>_xll.QDates_FuturesNextCode(A37)</f>
        <v>COV1</v>
      </c>
      <c r="B38" s="17">
        <f>_xll.QDates_FuturesExpiryFromCode(A38)</f>
        <v>44439</v>
      </c>
      <c r="C38">
        <v>72.290000000000006</v>
      </c>
      <c r="D38" s="7" t="s">
        <v>70</v>
      </c>
      <c r="E38" s="21">
        <f t="shared" si="0"/>
        <v>12.689999999999998</v>
      </c>
      <c r="F38" s="21" t="str">
        <f t="shared" si="1"/>
        <v/>
      </c>
      <c r="G38" s="23">
        <v>12.386666666666661</v>
      </c>
      <c r="H38" s="24">
        <f t="shared" si="2"/>
        <v>72.408333333333346</v>
      </c>
      <c r="I38" s="6"/>
      <c r="J38" s="20" t="str">
        <f>_xll.QDates_FuturesNextCode(J37)</f>
        <v>QSQ1</v>
      </c>
      <c r="K38" s="17">
        <f>_xll.QDates_FuturesExpiryFromCode(J38)</f>
        <v>44420</v>
      </c>
      <c r="L38">
        <v>669.5</v>
      </c>
      <c r="M38" s="7" t="s">
        <v>70</v>
      </c>
      <c r="N38" s="21">
        <f t="shared" si="3"/>
        <v>64.5</v>
      </c>
      <c r="O38" s="21" t="str">
        <f t="shared" si="4"/>
        <v/>
      </c>
      <c r="P38" s="23">
        <v>63.916666666666664</v>
      </c>
      <c r="Q38" s="24">
        <f t="shared" si="5"/>
        <v>673.45833333333337</v>
      </c>
      <c r="R38" s="24"/>
      <c r="S38" s="26"/>
      <c r="T38" s="1">
        <f>B36</f>
        <v>44377</v>
      </c>
      <c r="U38" t="str">
        <f t="shared" si="6"/>
        <v>JUN21</v>
      </c>
      <c r="V38" s="9">
        <v>0.22551379984486475</v>
      </c>
      <c r="W38" s="9"/>
      <c r="Y38" s="9"/>
      <c r="Z38" s="9"/>
      <c r="AA38" s="1"/>
      <c r="AF38" s="1"/>
      <c r="AG38" s="12"/>
    </row>
    <row r="39" spans="1:33" x14ac:dyDescent="0.25">
      <c r="A39" s="20" t="str">
        <f>_xll.QDates_FuturesNextCode(A38)</f>
        <v>COX1</v>
      </c>
      <c r="B39" s="17">
        <f>_xll.QDates_FuturesExpiryFromCode(A39)</f>
        <v>44469</v>
      </c>
      <c r="C39">
        <v>72.010000000000005</v>
      </c>
      <c r="D39" s="7" t="s">
        <v>70</v>
      </c>
      <c r="E39" s="21">
        <f t="shared" si="0"/>
        <v>12.969999999999999</v>
      </c>
      <c r="F39" s="21" t="str">
        <f t="shared" si="1"/>
        <v/>
      </c>
      <c r="G39" s="23">
        <v>12.665833333333326</v>
      </c>
      <c r="H39" s="24">
        <f t="shared" si="2"/>
        <v>72.129166666666677</v>
      </c>
      <c r="I39" s="6"/>
      <c r="J39" s="20" t="str">
        <f>_xll.QDates_FuturesNextCode(J38)</f>
        <v>QSU1</v>
      </c>
      <c r="K39" s="17">
        <f>_xll.QDates_FuturesExpiryFromCode(J39)</f>
        <v>44449</v>
      </c>
      <c r="L39">
        <v>666.5</v>
      </c>
      <c r="M39" s="7" t="s">
        <v>70</v>
      </c>
      <c r="N39" s="21">
        <f t="shared" si="3"/>
        <v>67.5</v>
      </c>
      <c r="O39" s="21" t="str">
        <f t="shared" si="4"/>
        <v/>
      </c>
      <c r="P39" s="23">
        <v>66.625</v>
      </c>
      <c r="Q39" s="24">
        <f t="shared" si="5"/>
        <v>670.75</v>
      </c>
      <c r="R39" s="24"/>
      <c r="S39" s="26"/>
      <c r="T39" s="1">
        <f>B37</f>
        <v>44407</v>
      </c>
      <c r="U39" t="str">
        <f t="shared" si="6"/>
        <v>JUL21</v>
      </c>
      <c r="V39" s="9">
        <v>0.22467265073446971</v>
      </c>
      <c r="W39" s="9"/>
      <c r="Y39" s="9"/>
      <c r="Z39" s="9"/>
      <c r="AA39" s="1"/>
      <c r="AF39" s="1"/>
      <c r="AG39" s="12"/>
    </row>
    <row r="40" spans="1:33" x14ac:dyDescent="0.25">
      <c r="A40" s="20" t="str">
        <f>_xll.QDates_FuturesNextCode(A39)</f>
        <v>COZ1</v>
      </c>
      <c r="B40" s="17">
        <f>_xll.QDates_FuturesExpiryFromCode(A40)</f>
        <v>44498</v>
      </c>
      <c r="C40">
        <v>71.73</v>
      </c>
      <c r="D40" s="7">
        <v>71.850000000000009</v>
      </c>
      <c r="E40" s="21">
        <f t="shared" si="0"/>
        <v>13.25</v>
      </c>
      <c r="F40" s="21">
        <f t="shared" si="1"/>
        <v>12.944999999999993</v>
      </c>
      <c r="G40" s="23">
        <v>12.944999999999993</v>
      </c>
      <c r="H40" s="24">
        <f t="shared" si="2"/>
        <v>71.850000000000009</v>
      </c>
      <c r="I40" s="6"/>
      <c r="J40" s="20" t="str">
        <f>_xll.QDates_FuturesNextCode(J39)</f>
        <v>QSV1</v>
      </c>
      <c r="K40" s="17">
        <f>_xll.QDates_FuturesExpiryFromCode(J40)</f>
        <v>44481</v>
      </c>
      <c r="L40">
        <v>663.5</v>
      </c>
      <c r="M40" s="7" t="s">
        <v>70</v>
      </c>
      <c r="N40" s="21">
        <f t="shared" si="3"/>
        <v>70.5</v>
      </c>
      <c r="O40" s="21" t="str">
        <f t="shared" si="4"/>
        <v/>
      </c>
      <c r="P40" s="23">
        <v>69.333333333333329</v>
      </c>
      <c r="Q40" s="24">
        <f t="shared" si="5"/>
        <v>668.04166666666663</v>
      </c>
      <c r="R40" s="24"/>
      <c r="S40" s="26"/>
      <c r="T40" s="1">
        <f>B38</f>
        <v>44439</v>
      </c>
      <c r="U40" t="str">
        <f t="shared" si="6"/>
        <v>AUG21</v>
      </c>
      <c r="V40" s="9">
        <v>0.22386899819033787</v>
      </c>
      <c r="W40" s="9"/>
      <c r="Y40" s="9"/>
      <c r="Z40" s="9"/>
      <c r="AA40" s="1"/>
      <c r="AF40" s="1"/>
      <c r="AG40" s="12"/>
    </row>
    <row r="41" spans="1:33" x14ac:dyDescent="0.25">
      <c r="A41" s="20" t="str">
        <f>_xll.QDates_FuturesNextCode(A40)</f>
        <v>COF2</v>
      </c>
      <c r="B41" s="17">
        <f>_xll.QDates_FuturesExpiryFromCode(A41)</f>
        <v>44530</v>
      </c>
      <c r="C41">
        <v>71.45</v>
      </c>
      <c r="D41" s="7" t="s">
        <v>70</v>
      </c>
      <c r="E41" s="21">
        <f t="shared" si="0"/>
        <v>13.530000000000001</v>
      </c>
      <c r="F41" s="21" t="str">
        <f t="shared" si="1"/>
        <v/>
      </c>
      <c r="G41" s="23">
        <v>13.359999999999994</v>
      </c>
      <c r="H41" s="24">
        <f t="shared" si="2"/>
        <v>71.435000000000002</v>
      </c>
      <c r="I41" s="6"/>
      <c r="J41" s="20" t="str">
        <f>_xll.QDates_FuturesNextCode(J40)</f>
        <v>QSX1</v>
      </c>
      <c r="K41" s="17">
        <f>_xll.QDates_FuturesExpiryFromCode(J41)</f>
        <v>44511</v>
      </c>
      <c r="L41">
        <v>660.25</v>
      </c>
      <c r="M41" s="7" t="s">
        <v>70</v>
      </c>
      <c r="N41" s="21">
        <f t="shared" si="3"/>
        <v>73.75</v>
      </c>
      <c r="O41" s="21" t="str">
        <f t="shared" si="4"/>
        <v/>
      </c>
      <c r="P41" s="23">
        <v>72.291666666666671</v>
      </c>
      <c r="Q41" s="24">
        <f t="shared" si="5"/>
        <v>665.08333333333337</v>
      </c>
      <c r="R41" s="24"/>
      <c r="S41" s="26"/>
      <c r="T41" s="1">
        <f>B39</f>
        <v>44469</v>
      </c>
      <c r="U41" t="str">
        <f t="shared" si="6"/>
        <v>SEP21</v>
      </c>
      <c r="V41" s="9">
        <v>0.22309009797578369</v>
      </c>
      <c r="W41" s="9"/>
      <c r="Y41" s="9"/>
      <c r="Z41" s="9"/>
      <c r="AA41" s="1"/>
      <c r="AF41" s="1"/>
      <c r="AG41" s="12"/>
    </row>
    <row r="42" spans="1:33" x14ac:dyDescent="0.25">
      <c r="A42" s="20" t="str">
        <f>_xll.QDates_FuturesNextCode(A41)</f>
        <v>COG2</v>
      </c>
      <c r="B42" s="17">
        <f>_xll.QDates_FuturesExpiryFromCode(A42)</f>
        <v>44561</v>
      </c>
      <c r="C42">
        <v>71.180000000000007</v>
      </c>
      <c r="D42" s="7" t="s">
        <v>70</v>
      </c>
      <c r="E42" s="21">
        <f t="shared" si="0"/>
        <v>13.799999999999997</v>
      </c>
      <c r="F42" s="21" t="str">
        <f t="shared" si="1"/>
        <v/>
      </c>
      <c r="G42" s="23">
        <v>13.764999999999992</v>
      </c>
      <c r="H42" s="24">
        <f t="shared" si="2"/>
        <v>71.030000000000015</v>
      </c>
      <c r="I42" s="6"/>
      <c r="J42" s="20" t="str">
        <f>_xll.QDates_FuturesNextCode(J41)</f>
        <v>QSZ1</v>
      </c>
      <c r="K42" s="17">
        <f>_xll.QDates_FuturesExpiryFromCode(J42)</f>
        <v>44540</v>
      </c>
      <c r="L42">
        <v>657</v>
      </c>
      <c r="M42" s="7">
        <v>662.125</v>
      </c>
      <c r="N42" s="21">
        <f t="shared" si="3"/>
        <v>77</v>
      </c>
      <c r="O42" s="21">
        <f t="shared" si="4"/>
        <v>75.25</v>
      </c>
      <c r="P42" s="23">
        <v>75.25</v>
      </c>
      <c r="Q42" s="24">
        <f t="shared" si="5"/>
        <v>662.125</v>
      </c>
      <c r="R42" s="24"/>
      <c r="S42" s="26"/>
      <c r="T42" s="1">
        <f>B40</f>
        <v>44498</v>
      </c>
      <c r="U42" t="str">
        <f t="shared" si="6"/>
        <v>OCT21</v>
      </c>
      <c r="V42" s="9">
        <v>0.22294147985810386</v>
      </c>
      <c r="W42" s="9"/>
      <c r="Y42" s="9"/>
      <c r="Z42" s="9"/>
      <c r="AA42" s="1"/>
      <c r="AF42" s="1"/>
      <c r="AG42" s="12"/>
    </row>
    <row r="43" spans="1:33" x14ac:dyDescent="0.25">
      <c r="A43" s="20" t="str">
        <f>_xll.QDates_FuturesNextCode(A42)</f>
        <v>COH2</v>
      </c>
      <c r="B43" s="17">
        <f>_xll.QDates_FuturesExpiryFromCode(A43)</f>
        <v>44592</v>
      </c>
      <c r="C43">
        <v>70.97</v>
      </c>
      <c r="D43" s="7" t="s">
        <v>70</v>
      </c>
      <c r="E43" s="21">
        <f t="shared" si="0"/>
        <v>14.010000000000005</v>
      </c>
      <c r="F43" s="21" t="str">
        <f t="shared" si="1"/>
        <v/>
      </c>
      <c r="G43" s="23">
        <v>14.11</v>
      </c>
      <c r="H43" s="24">
        <f t="shared" si="2"/>
        <v>70.685000000000002</v>
      </c>
      <c r="I43" s="6"/>
      <c r="J43" s="20" t="str">
        <f>_xll.QDates_FuturesNextCode(J42)</f>
        <v>QSF2</v>
      </c>
      <c r="K43" s="17">
        <f>_xll.QDates_FuturesExpiryFromCode(J43)</f>
        <v>44573</v>
      </c>
      <c r="L43">
        <v>655.25</v>
      </c>
      <c r="M43" s="7" t="s">
        <v>70</v>
      </c>
      <c r="N43" s="21">
        <f t="shared" si="3"/>
        <v>78.75</v>
      </c>
      <c r="O43" s="21" t="str">
        <f t="shared" si="4"/>
        <v/>
      </c>
      <c r="P43" s="23">
        <v>76.854166666666671</v>
      </c>
      <c r="Q43" s="24">
        <f t="shared" si="5"/>
        <v>660.52083333333337</v>
      </c>
      <c r="R43" s="24"/>
      <c r="S43" s="26"/>
      <c r="T43" s="1">
        <f>B41</f>
        <v>44530</v>
      </c>
      <c r="U43" t="str">
        <f t="shared" si="6"/>
        <v>NOV21</v>
      </c>
      <c r="V43" s="9">
        <v>0.22238684049322824</v>
      </c>
      <c r="W43" s="9"/>
      <c r="Y43" s="9"/>
      <c r="Z43" s="9"/>
      <c r="AA43" s="1"/>
      <c r="AF43" s="1"/>
      <c r="AG43" s="12"/>
    </row>
    <row r="44" spans="1:33" x14ac:dyDescent="0.25">
      <c r="A44" s="20" t="str">
        <f>_xll.QDates_FuturesNextCode(A43)</f>
        <v>COJ2</v>
      </c>
      <c r="B44" s="17">
        <f>_xll.QDates_FuturesExpiryFromCode(A44)</f>
        <v>44620</v>
      </c>
      <c r="C44">
        <v>70.760000000000005</v>
      </c>
      <c r="D44" s="7" t="s">
        <v>70</v>
      </c>
      <c r="E44" s="21">
        <f t="shared" si="0"/>
        <v>14.219999999999999</v>
      </c>
      <c r="F44" s="21" t="str">
        <f t="shared" si="1"/>
        <v/>
      </c>
      <c r="G44" s="23">
        <v>14.454999999999993</v>
      </c>
      <c r="H44" s="24">
        <f t="shared" si="2"/>
        <v>70.34</v>
      </c>
      <c r="I44" s="6"/>
      <c r="J44" s="20" t="str">
        <f>_xll.QDates_FuturesNextCode(J43)</f>
        <v>QSG2</v>
      </c>
      <c r="K44" s="17">
        <f>_xll.QDates_FuturesExpiryFromCode(J44)</f>
        <v>44602</v>
      </c>
      <c r="L44">
        <v>653.5</v>
      </c>
      <c r="M44" s="7" t="s">
        <v>70</v>
      </c>
      <c r="N44" s="21">
        <f t="shared" si="3"/>
        <v>80.5</v>
      </c>
      <c r="O44" s="21" t="str">
        <f t="shared" si="4"/>
        <v/>
      </c>
      <c r="P44" s="23">
        <v>78.458333333333329</v>
      </c>
      <c r="Q44" s="24">
        <f t="shared" si="5"/>
        <v>658.91666666666663</v>
      </c>
      <c r="R44" s="24"/>
      <c r="S44" s="6"/>
      <c r="T44" s="1">
        <f>B42</f>
        <v>44561</v>
      </c>
      <c r="U44" t="str">
        <f t="shared" si="6"/>
        <v>DEC21</v>
      </c>
      <c r="V44" s="9">
        <v>0.22187954575086025</v>
      </c>
      <c r="W44" s="9"/>
      <c r="Y44" s="9"/>
      <c r="Z44" s="9"/>
      <c r="AA44" s="1"/>
      <c r="AF44" s="1"/>
      <c r="AG44" s="12"/>
    </row>
    <row r="45" spans="1:33" x14ac:dyDescent="0.25">
      <c r="A45" s="20" t="str">
        <f>_xll.QDates_FuturesNextCode(A44)</f>
        <v>COK2</v>
      </c>
      <c r="B45" s="17">
        <f>_xll.QDates_FuturesExpiryFromCode(A45)</f>
        <v>44651</v>
      </c>
      <c r="C45">
        <v>70.56</v>
      </c>
      <c r="D45" s="7" t="s">
        <v>70</v>
      </c>
      <c r="E45" s="21">
        <f t="shared" si="0"/>
        <v>14.420000000000002</v>
      </c>
      <c r="F45" s="21" t="str">
        <f t="shared" si="1"/>
        <v/>
      </c>
      <c r="G45" s="23">
        <v>14.789999999999997</v>
      </c>
      <c r="H45" s="24">
        <f t="shared" si="2"/>
        <v>70.00500000000001</v>
      </c>
      <c r="I45" s="6"/>
      <c r="J45" s="20" t="str">
        <f>_xll.QDates_FuturesNextCode(J44)</f>
        <v>QSH2</v>
      </c>
      <c r="K45" s="17">
        <f>_xll.QDates_FuturesExpiryFromCode(J45)</f>
        <v>44630</v>
      </c>
      <c r="L45">
        <v>651.75</v>
      </c>
      <c r="M45" s="7" t="s">
        <v>70</v>
      </c>
      <c r="N45" s="21">
        <f t="shared" si="3"/>
        <v>82.25</v>
      </c>
      <c r="O45" s="21" t="str">
        <f t="shared" si="4"/>
        <v/>
      </c>
      <c r="P45" s="23">
        <v>80.0625</v>
      </c>
      <c r="Q45" s="24">
        <f t="shared" si="5"/>
        <v>657.3125</v>
      </c>
      <c r="R45" s="24"/>
      <c r="S45" s="6"/>
      <c r="T45" s="1">
        <f>B43</f>
        <v>44592</v>
      </c>
      <c r="U45" t="str">
        <f t="shared" si="6"/>
        <v>JAN22</v>
      </c>
      <c r="V45" s="9">
        <v>0.22141493728008541</v>
      </c>
      <c r="W45" s="9"/>
      <c r="Y45" s="9"/>
      <c r="Z45" s="9"/>
      <c r="AA45" s="1"/>
      <c r="AF45" s="1"/>
      <c r="AG45" s="12"/>
    </row>
    <row r="46" spans="1:33" x14ac:dyDescent="0.25">
      <c r="A46" s="20" t="str">
        <f>_xll.QDates_FuturesNextCode(A45)</f>
        <v>COM2</v>
      </c>
      <c r="B46" s="17">
        <f>_xll.QDates_FuturesExpiryFromCode(A46)</f>
        <v>44680</v>
      </c>
      <c r="C46">
        <v>70.36</v>
      </c>
      <c r="D46" s="7">
        <v>69.67</v>
      </c>
      <c r="E46" s="21">
        <f t="shared" si="0"/>
        <v>14.620000000000005</v>
      </c>
      <c r="F46" s="21">
        <f t="shared" si="1"/>
        <v>15.125</v>
      </c>
      <c r="G46" s="23">
        <v>15.125</v>
      </c>
      <c r="H46" s="24">
        <f t="shared" si="2"/>
        <v>69.67</v>
      </c>
      <c r="I46" s="6"/>
      <c r="J46" s="20" t="str">
        <f>_xll.QDates_FuturesNextCode(J45)</f>
        <v>QSJ2</v>
      </c>
      <c r="K46" s="17">
        <f>_xll.QDates_FuturesExpiryFromCode(J46)</f>
        <v>44663</v>
      </c>
      <c r="L46">
        <v>650.25</v>
      </c>
      <c r="M46" s="7" t="s">
        <v>70</v>
      </c>
      <c r="N46" s="21">
        <f t="shared" si="3"/>
        <v>83.75</v>
      </c>
      <c r="O46" s="21" t="str">
        <f t="shared" si="4"/>
        <v/>
      </c>
      <c r="P46" s="23">
        <v>81.416666666666671</v>
      </c>
      <c r="Q46" s="24">
        <f t="shared" si="5"/>
        <v>655.95833333333337</v>
      </c>
      <c r="R46" s="24"/>
      <c r="S46" s="6"/>
      <c r="AA46" s="1"/>
      <c r="AF46" s="1"/>
      <c r="AG46" s="12"/>
    </row>
    <row r="47" spans="1:33" x14ac:dyDescent="0.25">
      <c r="A47" s="20" t="str">
        <f>_xll.QDates_FuturesNextCode(A46)</f>
        <v>CON2</v>
      </c>
      <c r="B47" s="17">
        <f>_xll.QDates_FuturesExpiryFromCode(A47)</f>
        <v>44712</v>
      </c>
      <c r="C47">
        <v>70.16</v>
      </c>
      <c r="D47" s="7" t="s">
        <v>70</v>
      </c>
      <c r="E47" s="21">
        <f t="shared" si="0"/>
        <v>14.820000000000007</v>
      </c>
      <c r="F47" s="21" t="str">
        <f t="shared" si="1"/>
        <v/>
      </c>
      <c r="G47" s="23">
        <v>15.186666666666669</v>
      </c>
      <c r="H47" s="24">
        <f t="shared" si="2"/>
        <v>69.608333333333334</v>
      </c>
      <c r="I47" s="6"/>
      <c r="J47" s="20" t="str">
        <f>_xll.QDates_FuturesNextCode(J46)</f>
        <v>QSK2</v>
      </c>
      <c r="K47" s="17">
        <f>_xll.QDates_FuturesExpiryFromCode(J47)</f>
        <v>44693</v>
      </c>
      <c r="L47">
        <v>648.75</v>
      </c>
      <c r="M47" s="7" t="s">
        <v>70</v>
      </c>
      <c r="N47" s="21">
        <f t="shared" si="3"/>
        <v>85.25</v>
      </c>
      <c r="O47" s="21" t="str">
        <f t="shared" si="4"/>
        <v/>
      </c>
      <c r="P47" s="23">
        <v>82.770833333333329</v>
      </c>
      <c r="Q47" s="24">
        <f t="shared" si="5"/>
        <v>654.60416666666663</v>
      </c>
      <c r="R47" s="24"/>
      <c r="S47" s="6"/>
      <c r="AA47" s="1"/>
      <c r="AF47" s="1"/>
      <c r="AG47" s="12"/>
    </row>
    <row r="48" spans="1:33" x14ac:dyDescent="0.25">
      <c r="A48" s="20" t="str">
        <f>_xll.QDates_FuturesNextCode(A47)</f>
        <v>COQ2</v>
      </c>
      <c r="B48" s="17">
        <f>_xll.QDates_FuturesExpiryFromCode(A48)</f>
        <v>44742</v>
      </c>
      <c r="C48">
        <v>69.960000000000008</v>
      </c>
      <c r="D48" s="7" t="s">
        <v>70</v>
      </c>
      <c r="E48" s="21">
        <f t="shared" si="0"/>
        <v>15.019999999999996</v>
      </c>
      <c r="F48" s="21" t="str">
        <f t="shared" si="1"/>
        <v/>
      </c>
      <c r="G48" s="23">
        <v>15.248333333333326</v>
      </c>
      <c r="H48" s="24">
        <f t="shared" si="2"/>
        <v>69.546666666666681</v>
      </c>
      <c r="I48" s="6"/>
      <c r="J48" s="20" t="str">
        <f>_xll.QDates_FuturesNextCode(J47)</f>
        <v>QSM2</v>
      </c>
      <c r="K48" s="17">
        <f>_xll.QDates_FuturesExpiryFromCode(J48)</f>
        <v>44722</v>
      </c>
      <c r="L48">
        <v>647.25</v>
      </c>
      <c r="M48" s="7" t="s">
        <v>70</v>
      </c>
      <c r="N48" s="21">
        <f t="shared" si="3"/>
        <v>86.75</v>
      </c>
      <c r="O48" s="21" t="str">
        <f t="shared" si="4"/>
        <v/>
      </c>
      <c r="P48" s="23">
        <v>84.125</v>
      </c>
      <c r="Q48" s="24">
        <f t="shared" si="5"/>
        <v>653.25</v>
      </c>
      <c r="R48" s="24"/>
      <c r="S48" s="6"/>
      <c r="AA48" s="1"/>
      <c r="AF48" s="1"/>
      <c r="AG48" s="12"/>
    </row>
    <row r="49" spans="1:33" x14ac:dyDescent="0.25">
      <c r="A49" s="20" t="str">
        <f>_xll.QDates_FuturesNextCode(A48)</f>
        <v>COU2</v>
      </c>
      <c r="B49" s="17">
        <f>_xll.QDates_FuturesExpiryFromCode(A49)</f>
        <v>44771</v>
      </c>
      <c r="C49">
        <v>69.760000000000005</v>
      </c>
      <c r="D49" s="7" t="s">
        <v>70</v>
      </c>
      <c r="E49" s="21">
        <f t="shared" si="0"/>
        <v>15.219999999999999</v>
      </c>
      <c r="F49" s="21" t="str">
        <f t="shared" si="1"/>
        <v/>
      </c>
      <c r="G49" s="23">
        <v>15.309999999999995</v>
      </c>
      <c r="H49" s="24">
        <f t="shared" si="2"/>
        <v>69.485000000000014</v>
      </c>
      <c r="I49" s="6"/>
      <c r="J49" s="20" t="str">
        <f>_xll.QDates_FuturesNextCode(J48)</f>
        <v>QSN2</v>
      </c>
      <c r="K49" s="17">
        <f>_xll.QDates_FuturesExpiryFromCode(J49)</f>
        <v>44754</v>
      </c>
      <c r="L49">
        <v>645.5</v>
      </c>
      <c r="M49" s="7" t="s">
        <v>70</v>
      </c>
      <c r="N49" s="21">
        <f t="shared" si="3"/>
        <v>88.5</v>
      </c>
      <c r="O49" s="21" t="str">
        <f t="shared" si="4"/>
        <v/>
      </c>
      <c r="P49" s="23">
        <v>85.729166666666671</v>
      </c>
      <c r="Q49" s="24">
        <f t="shared" si="5"/>
        <v>651.64583333333337</v>
      </c>
      <c r="R49" s="24"/>
      <c r="S49" s="6"/>
      <c r="AA49" s="1"/>
      <c r="AF49" s="1"/>
      <c r="AG49" s="12"/>
    </row>
    <row r="50" spans="1:33" x14ac:dyDescent="0.25">
      <c r="A50" s="20" t="str">
        <f>_xll.QDates_FuturesNextCode(A49)</f>
        <v>COV2</v>
      </c>
      <c r="B50" s="17">
        <f>_xll.QDates_FuturesExpiryFromCode(A50)</f>
        <v>44804</v>
      </c>
      <c r="C50">
        <v>69.56</v>
      </c>
      <c r="D50" s="7" t="s">
        <v>70</v>
      </c>
      <c r="E50" s="21">
        <f t="shared" si="0"/>
        <v>15.420000000000002</v>
      </c>
      <c r="F50" s="21" t="str">
        <f t="shared" si="1"/>
        <v/>
      </c>
      <c r="G50" s="23">
        <v>15.371666666666664</v>
      </c>
      <c r="H50" s="24">
        <f t="shared" si="2"/>
        <v>69.423333333333332</v>
      </c>
      <c r="I50" s="6"/>
      <c r="J50" s="20" t="str">
        <f>_xll.QDates_FuturesNextCode(J49)</f>
        <v>QSQ2</v>
      </c>
      <c r="K50" s="17">
        <f>_xll.QDates_FuturesExpiryFromCode(J50)</f>
        <v>44784</v>
      </c>
      <c r="L50">
        <v>643.75</v>
      </c>
      <c r="M50" s="7" t="s">
        <v>70</v>
      </c>
      <c r="N50" s="21">
        <f t="shared" si="3"/>
        <v>90.25</v>
      </c>
      <c r="O50" s="21" t="str">
        <f t="shared" si="4"/>
        <v/>
      </c>
      <c r="P50" s="23">
        <v>87.333333333333329</v>
      </c>
      <c r="Q50" s="24">
        <f t="shared" si="5"/>
        <v>650.04166666666663</v>
      </c>
      <c r="R50" s="24"/>
      <c r="S50" s="6"/>
      <c r="AA50" s="1"/>
      <c r="AF50" s="1"/>
      <c r="AG50" s="12"/>
    </row>
    <row r="51" spans="1:33" x14ac:dyDescent="0.25">
      <c r="A51" s="20" t="str">
        <f>_xll.QDates_FuturesNextCode(A50)</f>
        <v>COX2</v>
      </c>
      <c r="B51" s="17">
        <f>_xll.QDates_FuturesExpiryFromCode(A51)</f>
        <v>44834</v>
      </c>
      <c r="C51">
        <v>69.350000000000009</v>
      </c>
      <c r="D51" s="7" t="s">
        <v>70</v>
      </c>
      <c r="E51" s="21">
        <f t="shared" si="0"/>
        <v>15.629999999999995</v>
      </c>
      <c r="F51" s="21" t="str">
        <f t="shared" si="1"/>
        <v/>
      </c>
      <c r="G51" s="23">
        <v>15.443333333333326</v>
      </c>
      <c r="H51" s="24">
        <f t="shared" si="2"/>
        <v>69.351666666666674</v>
      </c>
      <c r="I51" s="6"/>
      <c r="J51" s="20" t="str">
        <f>_xll.QDates_FuturesNextCode(J50)</f>
        <v>QSU2</v>
      </c>
      <c r="K51" s="17">
        <f>_xll.QDates_FuturesExpiryFromCode(J51)</f>
        <v>44816</v>
      </c>
      <c r="L51">
        <v>642</v>
      </c>
      <c r="M51" s="7" t="s">
        <v>70</v>
      </c>
      <c r="N51" s="21">
        <f t="shared" si="3"/>
        <v>92</v>
      </c>
      <c r="O51" s="21" t="str">
        <f t="shared" si="4"/>
        <v/>
      </c>
      <c r="P51" s="23">
        <v>88.9375</v>
      </c>
      <c r="Q51" s="24">
        <f t="shared" si="5"/>
        <v>648.4375</v>
      </c>
      <c r="R51" s="24"/>
      <c r="S51" s="6"/>
      <c r="AA51" s="1"/>
      <c r="AF51" s="1"/>
      <c r="AG51" s="12"/>
    </row>
    <row r="52" spans="1:33" x14ac:dyDescent="0.25">
      <c r="A52" s="20" t="str">
        <f>_xll.QDates_FuturesNextCode(A51)</f>
        <v>COZ2</v>
      </c>
      <c r="B52" s="17">
        <f>_xll.QDates_FuturesExpiryFromCode(A52)</f>
        <v>44865</v>
      </c>
      <c r="C52">
        <v>69.150000000000006</v>
      </c>
      <c r="D52" s="7">
        <v>69.290000000000006</v>
      </c>
      <c r="E52" s="21">
        <f t="shared" si="0"/>
        <v>15.829999999999998</v>
      </c>
      <c r="F52" s="21">
        <f t="shared" si="1"/>
        <v>15.504999999999995</v>
      </c>
      <c r="G52" s="23">
        <v>15.504999999999995</v>
      </c>
      <c r="H52" s="24">
        <f t="shared" si="2"/>
        <v>69.290000000000006</v>
      </c>
      <c r="I52" s="6"/>
      <c r="J52" s="20" t="str">
        <f>_xll.QDates_FuturesNextCode(J51)</f>
        <v>QSV2</v>
      </c>
      <c r="K52" s="17">
        <f>_xll.QDates_FuturesExpiryFromCode(J52)</f>
        <v>44846</v>
      </c>
      <c r="L52">
        <v>640.5</v>
      </c>
      <c r="M52" s="7" t="s">
        <v>70</v>
      </c>
      <c r="N52" s="21">
        <f t="shared" si="3"/>
        <v>93.5</v>
      </c>
      <c r="O52" s="21" t="str">
        <f t="shared" si="4"/>
        <v/>
      </c>
      <c r="P52" s="23">
        <v>90.291666666666671</v>
      </c>
      <c r="Q52" s="24">
        <f t="shared" si="5"/>
        <v>647.08333333333337</v>
      </c>
      <c r="R52" s="24"/>
      <c r="S52" s="6"/>
      <c r="AA52" s="1"/>
      <c r="AF52" s="1"/>
      <c r="AG52" s="12"/>
    </row>
    <row r="53" spans="1:33" x14ac:dyDescent="0.25">
      <c r="A53" s="20" t="str">
        <f>_xll.QDates_FuturesNextCode(A52)</f>
        <v>COF3</v>
      </c>
      <c r="B53" s="17">
        <f>_xll.QDates_FuturesExpiryFromCode(A53)</f>
        <v>44895</v>
      </c>
      <c r="C53">
        <v>69.010000000000005</v>
      </c>
      <c r="D53" s="7" t="s">
        <v>70</v>
      </c>
      <c r="E53" s="21">
        <f t="shared" si="0"/>
        <v>15.969999999999999</v>
      </c>
      <c r="F53" s="21" t="str">
        <f t="shared" si="1"/>
        <v/>
      </c>
      <c r="G53" s="23">
        <v>15.646249999999997</v>
      </c>
      <c r="H53" s="24">
        <f t="shared" si="2"/>
        <v>69.148750000000007</v>
      </c>
      <c r="I53" s="6"/>
      <c r="J53" s="20" t="str">
        <f>_xll.QDates_FuturesNextCode(J52)</f>
        <v>QSX2</v>
      </c>
      <c r="K53" s="17">
        <f>_xll.QDates_FuturesExpiryFromCode(J53)</f>
        <v>44875</v>
      </c>
      <c r="L53">
        <v>639</v>
      </c>
      <c r="M53" s="7" t="s">
        <v>70</v>
      </c>
      <c r="N53" s="21">
        <f t="shared" si="3"/>
        <v>95</v>
      </c>
      <c r="O53" s="21" t="str">
        <f t="shared" si="4"/>
        <v/>
      </c>
      <c r="P53" s="23">
        <v>91.645833333333329</v>
      </c>
      <c r="Q53" s="24">
        <f t="shared" si="5"/>
        <v>645.72916666666663</v>
      </c>
      <c r="R53" s="24"/>
      <c r="S53" s="6"/>
      <c r="AA53" s="1"/>
      <c r="AF53" s="1"/>
      <c r="AG53" s="12"/>
    </row>
    <row r="54" spans="1:33" x14ac:dyDescent="0.25">
      <c r="A54" s="20" t="str">
        <f>_xll.QDates_FuturesNextCode(A53)</f>
        <v>COG3</v>
      </c>
      <c r="B54" s="17">
        <f>_xll.QDates_FuturesExpiryFromCode(A54)</f>
        <v>44925</v>
      </c>
      <c r="C54">
        <v>68.87</v>
      </c>
      <c r="D54" s="7" t="s">
        <v>70</v>
      </c>
      <c r="E54" s="21">
        <f t="shared" ref="E54:E63" si="8">$C$4-C54</f>
        <v>16.11</v>
      </c>
      <c r="F54" s="21" t="str">
        <f t="shared" ref="F54:F63" si="9">IF(ISNUMBER(D54),$D$4-D54,"")</f>
        <v/>
      </c>
      <c r="G54" s="23">
        <v>15.787499999999996</v>
      </c>
      <c r="H54" s="24">
        <f t="shared" si="2"/>
        <v>69.007500000000007</v>
      </c>
      <c r="I54" s="6"/>
      <c r="J54" s="20" t="str">
        <f>_xll.QDates_FuturesNextCode(J53)</f>
        <v>QSZ2</v>
      </c>
      <c r="K54" s="17">
        <f>_xll.QDates_FuturesExpiryFromCode(J54)</f>
        <v>44907</v>
      </c>
      <c r="L54">
        <v>637.5</v>
      </c>
      <c r="M54" s="7">
        <v>644.375</v>
      </c>
      <c r="N54" s="21">
        <f t="shared" si="3"/>
        <v>96.5</v>
      </c>
      <c r="O54" s="21">
        <f t="shared" si="4"/>
        <v>93</v>
      </c>
      <c r="P54" s="23">
        <v>93</v>
      </c>
      <c r="Q54" s="24">
        <f t="shared" si="5"/>
        <v>644.375</v>
      </c>
      <c r="R54" s="24"/>
      <c r="S54" s="6"/>
      <c r="AA54" s="1"/>
      <c r="AF54" s="1"/>
      <c r="AG54" s="12"/>
    </row>
    <row r="55" spans="1:33" x14ac:dyDescent="0.25">
      <c r="A55" s="20" t="str">
        <f>_xll.QDates_FuturesNextCode(A54)</f>
        <v>COH3</v>
      </c>
      <c r="B55" s="17">
        <f>_xll.QDates_FuturesExpiryFromCode(A55)</f>
        <v>44957</v>
      </c>
      <c r="C55">
        <v>68.739999999999995</v>
      </c>
      <c r="D55" s="7" t="s">
        <v>70</v>
      </c>
      <c r="E55" s="21">
        <f t="shared" si="8"/>
        <v>16.240000000000009</v>
      </c>
      <c r="F55" s="21" t="str">
        <f t="shared" si="9"/>
        <v/>
      </c>
      <c r="G55" s="23">
        <v>15.918750000000006</v>
      </c>
      <c r="H55" s="24">
        <f t="shared" si="2"/>
        <v>68.876249999999999</v>
      </c>
      <c r="I55" s="6"/>
      <c r="J55" s="20" t="str">
        <f>_xll.QDates_FuturesNextCode(J54)</f>
        <v>QSF3</v>
      </c>
      <c r="K55" s="17">
        <f>_xll.QDates_FuturesExpiryFromCode(J55)</f>
        <v>44938</v>
      </c>
      <c r="L55">
        <v>637.75</v>
      </c>
      <c r="M55" s="7" t="s">
        <v>70</v>
      </c>
      <c r="N55" s="21">
        <f t="shared" si="3"/>
        <v>96.25</v>
      </c>
      <c r="O55" s="21" t="str">
        <f t="shared" si="4"/>
        <v/>
      </c>
      <c r="P55" s="23">
        <v>92.75</v>
      </c>
      <c r="Q55" s="24">
        <f t="shared" si="5"/>
        <v>644.625</v>
      </c>
      <c r="R55" s="24"/>
      <c r="S55" s="6"/>
      <c r="AA55" s="1"/>
      <c r="AF55" s="1"/>
      <c r="AG55" s="12"/>
    </row>
    <row r="56" spans="1:33" x14ac:dyDescent="0.25">
      <c r="A56" s="20" t="str">
        <f>_xll.QDates_FuturesNextCode(A55)</f>
        <v>COJ3</v>
      </c>
      <c r="B56" s="17">
        <f>_xll.QDates_FuturesExpiryFromCode(A56)</f>
        <v>44985</v>
      </c>
      <c r="C56">
        <v>68.61</v>
      </c>
      <c r="D56" s="7" t="s">
        <v>70</v>
      </c>
      <c r="E56" s="21">
        <f t="shared" si="8"/>
        <v>16.370000000000005</v>
      </c>
      <c r="F56" s="21" t="str">
        <f t="shared" si="9"/>
        <v/>
      </c>
      <c r="G56" s="23">
        <v>16.05</v>
      </c>
      <c r="H56" s="24">
        <f t="shared" si="2"/>
        <v>68.745000000000005</v>
      </c>
      <c r="I56" s="6"/>
      <c r="J56" s="20" t="str">
        <f>_xll.QDates_FuturesNextCode(J55)</f>
        <v>QSG3</v>
      </c>
      <c r="K56" s="17">
        <f>_xll.QDates_FuturesExpiryFromCode(J56)</f>
        <v>44967</v>
      </c>
      <c r="L56">
        <v>638</v>
      </c>
      <c r="M56" s="7" t="s">
        <v>70</v>
      </c>
      <c r="N56" s="21">
        <f t="shared" si="3"/>
        <v>96</v>
      </c>
      <c r="O56" s="21" t="str">
        <f t="shared" si="4"/>
        <v/>
      </c>
      <c r="P56" s="23">
        <v>92.5</v>
      </c>
      <c r="Q56" s="24">
        <f t="shared" si="5"/>
        <v>644.875</v>
      </c>
      <c r="R56" s="24"/>
      <c r="S56" s="6"/>
      <c r="AA56" s="1"/>
      <c r="AF56" s="1"/>
      <c r="AG56" s="12"/>
    </row>
    <row r="57" spans="1:33" x14ac:dyDescent="0.25">
      <c r="A57" s="20" t="str">
        <f>_xll.QDates_FuturesNextCode(A56)</f>
        <v>COK3</v>
      </c>
      <c r="B57" s="17">
        <f>_xll.QDates_FuturesExpiryFromCode(A57)</f>
        <v>45016</v>
      </c>
      <c r="C57">
        <v>68.48</v>
      </c>
      <c r="D57" s="7" t="s">
        <v>70</v>
      </c>
      <c r="E57" s="21">
        <f t="shared" si="8"/>
        <v>16.5</v>
      </c>
      <c r="F57" s="21" t="str">
        <f t="shared" si="9"/>
        <v/>
      </c>
      <c r="G57" s="23">
        <v>16.181249999999999</v>
      </c>
      <c r="H57" s="24">
        <f t="shared" si="2"/>
        <v>68.61375000000001</v>
      </c>
      <c r="I57" s="6"/>
      <c r="J57" s="20" t="str">
        <f>_xll.QDates_FuturesNextCode(J56)</f>
        <v>QSH3</v>
      </c>
      <c r="K57" s="17">
        <f>_xll.QDates_FuturesExpiryFromCode(J57)</f>
        <v>44995</v>
      </c>
      <c r="L57">
        <v>638.25</v>
      </c>
      <c r="M57" s="7" t="s">
        <v>70</v>
      </c>
      <c r="N57" s="21">
        <f t="shared" si="3"/>
        <v>95.75</v>
      </c>
      <c r="O57" s="21" t="str">
        <f t="shared" si="4"/>
        <v/>
      </c>
      <c r="P57" s="23">
        <v>92.25</v>
      </c>
      <c r="Q57" s="24">
        <f t="shared" si="5"/>
        <v>645.125</v>
      </c>
      <c r="R57" s="24"/>
      <c r="S57" s="6"/>
      <c r="AA57" s="1"/>
      <c r="AF57" s="1"/>
      <c r="AG57" s="12"/>
    </row>
    <row r="58" spans="1:33" x14ac:dyDescent="0.25">
      <c r="A58" s="20" t="str">
        <f>_xll.QDates_FuturesNextCode(A57)</f>
        <v>COM3</v>
      </c>
      <c r="B58" s="17">
        <f>_xll.QDates_FuturesExpiryFromCode(A58)</f>
        <v>45044</v>
      </c>
      <c r="C58">
        <v>68.350000000000009</v>
      </c>
      <c r="D58" s="7" t="s">
        <v>70</v>
      </c>
      <c r="E58" s="21">
        <f t="shared" si="8"/>
        <v>16.629999999999995</v>
      </c>
      <c r="F58" s="21" t="str">
        <f t="shared" si="9"/>
        <v/>
      </c>
      <c r="G58" s="23">
        <v>16.312499999999993</v>
      </c>
      <c r="H58" s="24">
        <f t="shared" si="2"/>
        <v>68.482500000000016</v>
      </c>
      <c r="I58" s="6"/>
      <c r="J58" s="20" t="str">
        <f>_xll.QDates_FuturesNextCode(J57)</f>
        <v>QSJ3</v>
      </c>
      <c r="K58" s="17">
        <f>_xll.QDates_FuturesExpiryFromCode(J58)</f>
        <v>45028</v>
      </c>
      <c r="L58">
        <v>638.5</v>
      </c>
      <c r="M58" s="7" t="s">
        <v>70</v>
      </c>
      <c r="N58" s="21">
        <f t="shared" si="3"/>
        <v>95.5</v>
      </c>
      <c r="O58" s="21" t="str">
        <f t="shared" si="4"/>
        <v/>
      </c>
      <c r="P58" s="23">
        <v>92</v>
      </c>
      <c r="Q58" s="24">
        <f t="shared" si="5"/>
        <v>645.375</v>
      </c>
      <c r="R58" s="24"/>
      <c r="S58" s="6"/>
      <c r="AA58" s="1"/>
      <c r="AF58" s="1"/>
      <c r="AG58" s="12"/>
    </row>
    <row r="59" spans="1:33" x14ac:dyDescent="0.25">
      <c r="A59" s="20" t="str">
        <f>_xll.QDates_FuturesNextCode(A58)</f>
        <v>CON3</v>
      </c>
      <c r="B59" s="17">
        <f>_xll.QDates_FuturesExpiryFromCode(A59)</f>
        <v>45077</v>
      </c>
      <c r="C59">
        <v>68.210000000000008</v>
      </c>
      <c r="D59" s="7" t="s">
        <v>70</v>
      </c>
      <c r="E59" s="21">
        <f t="shared" si="8"/>
        <v>16.769999999999996</v>
      </c>
      <c r="F59" s="21" t="str">
        <f t="shared" si="9"/>
        <v/>
      </c>
      <c r="G59" s="23">
        <v>16.453749999999992</v>
      </c>
      <c r="H59" s="24">
        <f t="shared" si="2"/>
        <v>68.341250000000002</v>
      </c>
      <c r="I59" s="6"/>
      <c r="J59" s="20" t="str">
        <f>_xll.QDates_FuturesNextCode(J58)</f>
        <v>QSK3</v>
      </c>
      <c r="K59" s="17">
        <f>_xll.QDates_FuturesExpiryFromCode(J59)</f>
        <v>45057</v>
      </c>
      <c r="L59">
        <v>638.75</v>
      </c>
      <c r="M59" s="7" t="s">
        <v>70</v>
      </c>
      <c r="N59" s="21">
        <f t="shared" si="3"/>
        <v>95.25</v>
      </c>
      <c r="O59" s="21" t="str">
        <f t="shared" si="4"/>
        <v/>
      </c>
      <c r="P59" s="23">
        <v>91.75</v>
      </c>
      <c r="Q59" s="24">
        <f t="shared" si="5"/>
        <v>645.625</v>
      </c>
      <c r="R59" s="24"/>
      <c r="S59" s="6"/>
      <c r="AA59" s="1"/>
      <c r="AF59" s="1"/>
      <c r="AG59" s="12"/>
    </row>
    <row r="60" spans="1:33" x14ac:dyDescent="0.25">
      <c r="A60" s="20" t="str">
        <f>_xll.QDates_FuturesNextCode(A59)</f>
        <v>COQ3</v>
      </c>
      <c r="B60" s="17">
        <f>_xll.QDates_FuturesExpiryFromCode(A60)</f>
        <v>45107</v>
      </c>
      <c r="C60">
        <v>68.070000000000007</v>
      </c>
      <c r="D60" s="7" t="s">
        <v>70</v>
      </c>
      <c r="E60" s="21">
        <f t="shared" si="8"/>
        <v>16.909999999999997</v>
      </c>
      <c r="F60" s="21" t="str">
        <f t="shared" si="9"/>
        <v/>
      </c>
      <c r="G60" s="23">
        <v>16.594999999999995</v>
      </c>
      <c r="H60" s="24">
        <f t="shared" si="2"/>
        <v>68.2</v>
      </c>
      <c r="I60" s="7"/>
      <c r="J60" s="20" t="str">
        <f>_xll.QDates_FuturesNextCode(J59)</f>
        <v>QSM3</v>
      </c>
      <c r="K60" s="17">
        <f>_xll.QDates_FuturesExpiryFromCode(J60)</f>
        <v>45089</v>
      </c>
      <c r="L60">
        <v>639</v>
      </c>
      <c r="M60" s="7" t="s">
        <v>70</v>
      </c>
      <c r="N60" s="21">
        <f t="shared" si="3"/>
        <v>95</v>
      </c>
      <c r="O60" s="21" t="str">
        <f t="shared" si="4"/>
        <v/>
      </c>
      <c r="P60" s="23">
        <v>91.5</v>
      </c>
      <c r="Q60" s="24">
        <f t="shared" si="5"/>
        <v>645.875</v>
      </c>
      <c r="R60" s="24"/>
      <c r="S60" s="7"/>
      <c r="AA60" s="1"/>
      <c r="AF60" s="1"/>
      <c r="AG60" s="12"/>
    </row>
    <row r="61" spans="1:33" x14ac:dyDescent="0.25">
      <c r="A61" s="20" t="str">
        <f>_xll.QDates_FuturesNextCode(A60)</f>
        <v>COU3</v>
      </c>
      <c r="B61" s="17">
        <f>_xll.QDates_FuturesExpiryFromCode(A61)</f>
        <v>45138</v>
      </c>
      <c r="C61">
        <v>67.94</v>
      </c>
      <c r="D61" s="7" t="s">
        <v>70</v>
      </c>
      <c r="E61" s="21">
        <f t="shared" si="8"/>
        <v>17.040000000000006</v>
      </c>
      <c r="F61" s="21" t="str">
        <f t="shared" si="9"/>
        <v/>
      </c>
      <c r="G61" s="23">
        <v>16.726250000000004</v>
      </c>
      <c r="H61" s="24">
        <f t="shared" si="2"/>
        <v>68.068749999999994</v>
      </c>
      <c r="I61" s="7"/>
      <c r="J61" s="20" t="str">
        <f>_xll.QDates_FuturesNextCode(J60)</f>
        <v>QSN3</v>
      </c>
      <c r="K61" s="17">
        <f>_xll.QDates_FuturesExpiryFromCode(J61)</f>
        <v>45119</v>
      </c>
      <c r="L61">
        <v>639.25</v>
      </c>
      <c r="M61" s="7" t="s">
        <v>70</v>
      </c>
      <c r="N61" s="21">
        <f t="shared" si="3"/>
        <v>94.75</v>
      </c>
      <c r="O61" s="21" t="str">
        <f t="shared" si="4"/>
        <v/>
      </c>
      <c r="P61" s="23">
        <v>91.25</v>
      </c>
      <c r="Q61" s="24">
        <f t="shared" si="5"/>
        <v>646.125</v>
      </c>
      <c r="R61" s="24"/>
      <c r="S61" s="7"/>
      <c r="AA61" s="1"/>
      <c r="AF61" s="1"/>
      <c r="AG61" s="12"/>
    </row>
    <row r="62" spans="1:33" x14ac:dyDescent="0.25">
      <c r="A62" s="20" t="str">
        <f>_xll.QDates_FuturesNextCode(A61)</f>
        <v>COV3</v>
      </c>
      <c r="B62" s="17">
        <f>_xll.QDates_FuturesExpiryFromCode(A62)</f>
        <v>45169</v>
      </c>
      <c r="C62">
        <v>67.81</v>
      </c>
      <c r="D62" s="7" t="s">
        <v>70</v>
      </c>
      <c r="E62" s="21">
        <f t="shared" si="8"/>
        <v>17.170000000000002</v>
      </c>
      <c r="F62" s="21" t="str">
        <f t="shared" si="9"/>
        <v/>
      </c>
      <c r="G62" s="23">
        <v>16.857499999999998</v>
      </c>
      <c r="H62" s="24">
        <f t="shared" si="2"/>
        <v>67.9375</v>
      </c>
      <c r="I62" s="7"/>
      <c r="J62" s="20" t="str">
        <f>_xll.QDates_FuturesNextCode(J61)</f>
        <v>QSQ3</v>
      </c>
      <c r="K62" s="17">
        <f>_xll.QDates_FuturesExpiryFromCode(J62)</f>
        <v>45148</v>
      </c>
      <c r="L62">
        <v>639.5</v>
      </c>
      <c r="M62" s="7" t="s">
        <v>70</v>
      </c>
      <c r="N62" s="21">
        <f t="shared" si="3"/>
        <v>94.5</v>
      </c>
      <c r="O62" s="21" t="str">
        <f t="shared" si="4"/>
        <v/>
      </c>
      <c r="P62" s="23">
        <v>91</v>
      </c>
      <c r="Q62" s="24">
        <f t="shared" si="5"/>
        <v>646.375</v>
      </c>
      <c r="R62" s="24"/>
      <c r="S62" s="7"/>
      <c r="AA62" s="1"/>
      <c r="AF62" s="1"/>
      <c r="AG62" s="12"/>
    </row>
    <row r="63" spans="1:33" x14ac:dyDescent="0.25">
      <c r="A63" s="20" t="str">
        <f>_xll.QDates_FuturesNextCode(A62)</f>
        <v>COX3</v>
      </c>
      <c r="B63" s="17">
        <f>_xll.QDates_FuturesExpiryFromCode(A63)</f>
        <v>45198</v>
      </c>
      <c r="C63">
        <v>67.680000000000007</v>
      </c>
      <c r="D63" s="7" t="s">
        <v>70</v>
      </c>
      <c r="E63" s="21">
        <f t="shared" si="8"/>
        <v>17.299999999999997</v>
      </c>
      <c r="F63" s="21" t="str">
        <f t="shared" si="9"/>
        <v/>
      </c>
      <c r="G63" s="23">
        <v>16.988749999999996</v>
      </c>
      <c r="H63" s="24">
        <f t="shared" si="2"/>
        <v>67.806250000000006</v>
      </c>
      <c r="J63" s="20" t="str">
        <f>_xll.QDates_FuturesNextCode(J62)</f>
        <v>QSU3</v>
      </c>
      <c r="K63" s="17">
        <f>_xll.QDates_FuturesExpiryFromCode(J63)</f>
        <v>45181</v>
      </c>
      <c r="L63">
        <v>639.75</v>
      </c>
      <c r="M63" s="7" t="s">
        <v>70</v>
      </c>
      <c r="N63" s="21">
        <f t="shared" si="3"/>
        <v>94.25</v>
      </c>
      <c r="O63" s="21" t="str">
        <f t="shared" si="4"/>
        <v/>
      </c>
      <c r="P63" s="23">
        <v>90.75</v>
      </c>
      <c r="Q63" s="24">
        <f t="shared" si="5"/>
        <v>646.625</v>
      </c>
      <c r="R63" s="24"/>
      <c r="AA63" s="1"/>
      <c r="AF63" s="1"/>
      <c r="AG63" s="12"/>
    </row>
    <row r="64" spans="1:33" x14ac:dyDescent="0.25">
      <c r="A64" s="20" t="str">
        <f>_xll.QDates_FuturesNextCode(A63)</f>
        <v>COZ3</v>
      </c>
      <c r="B64" s="17">
        <f>_xll.QDates_FuturesExpiryFromCode(A64)</f>
        <v>45230</v>
      </c>
      <c r="C64">
        <v>67.55</v>
      </c>
      <c r="D64" s="7">
        <v>67.674999999999997</v>
      </c>
      <c r="E64" s="21">
        <f t="shared" ref="E64:E65" si="10">$C$4-C64</f>
        <v>17.430000000000007</v>
      </c>
      <c r="F64" s="21">
        <f t="shared" ref="F64:F65" si="11">IF(ISNUMBER(D64),$D$4-D64,"")</f>
        <v>17.120000000000005</v>
      </c>
      <c r="G64" s="23">
        <v>17.120000000000005</v>
      </c>
      <c r="H64" s="24">
        <f t="shared" si="2"/>
        <v>67.674999999999997</v>
      </c>
      <c r="J64" s="20" t="str">
        <f>_xll.QDates_FuturesNextCode(J63)</f>
        <v>QSV3</v>
      </c>
      <c r="K64" s="17">
        <f>_xll.QDates_FuturesExpiryFromCode(J64)</f>
        <v>45211</v>
      </c>
      <c r="L64">
        <v>640</v>
      </c>
      <c r="M64" s="7" t="s">
        <v>70</v>
      </c>
      <c r="N64" s="21">
        <f t="shared" si="3"/>
        <v>94</v>
      </c>
      <c r="O64" s="21" t="str">
        <f t="shared" si="4"/>
        <v/>
      </c>
      <c r="P64" s="23">
        <v>90.5</v>
      </c>
      <c r="Q64" s="24">
        <f t="shared" si="5"/>
        <v>646.875</v>
      </c>
      <c r="R64" s="24"/>
      <c r="AA64" s="1"/>
      <c r="AF64" s="1"/>
      <c r="AG64" s="12"/>
    </row>
    <row r="65" spans="1:33" x14ac:dyDescent="0.25">
      <c r="A65" s="20" t="str">
        <f>_xll.QDates_FuturesNextCode(A64)</f>
        <v>COF4</v>
      </c>
      <c r="B65" s="17">
        <f>_xll.QDates_FuturesExpiryFromCode(A65)</f>
        <v>45260</v>
      </c>
      <c r="C65">
        <v>67.45</v>
      </c>
      <c r="D65" s="7" t="s">
        <v>70</v>
      </c>
      <c r="E65" s="21">
        <f t="shared" si="10"/>
        <v>17.53</v>
      </c>
      <c r="F65" s="21" t="str">
        <f t="shared" si="11"/>
        <v/>
      </c>
      <c r="G65" s="23">
        <v>17.22</v>
      </c>
      <c r="H65" s="24">
        <f t="shared" si="2"/>
        <v>67.575000000000003</v>
      </c>
      <c r="J65" s="20" t="str">
        <f>_xll.QDates_FuturesNextCode(J64)</f>
        <v>QSX3</v>
      </c>
      <c r="K65" s="17">
        <f>_xll.QDates_FuturesExpiryFromCode(J65)</f>
        <v>45240</v>
      </c>
      <c r="L65">
        <v>640.25</v>
      </c>
      <c r="M65" s="7" t="s">
        <v>70</v>
      </c>
      <c r="N65" s="21">
        <f t="shared" si="3"/>
        <v>93.75</v>
      </c>
      <c r="O65" s="21" t="str">
        <f t="shared" si="4"/>
        <v/>
      </c>
      <c r="P65" s="23">
        <v>90.25</v>
      </c>
      <c r="Q65" s="24">
        <f t="shared" si="5"/>
        <v>647.125</v>
      </c>
      <c r="R65" s="24"/>
      <c r="AA65" s="1"/>
      <c r="AF65" s="1"/>
      <c r="AG65" s="12"/>
    </row>
    <row r="66" spans="1:33" x14ac:dyDescent="0.25">
      <c r="AA66" s="1"/>
      <c r="AF66" s="1"/>
      <c r="AG66" s="12"/>
    </row>
    <row r="67" spans="1:33" x14ac:dyDescent="0.25">
      <c r="P67" s="13"/>
      <c r="AA67" s="1"/>
      <c r="AF67" s="1"/>
      <c r="AG67" s="12"/>
    </row>
    <row r="68" spans="1:33" x14ac:dyDescent="0.25">
      <c r="P68" s="13"/>
      <c r="AA68" s="1"/>
      <c r="AF68" s="1"/>
      <c r="AG68" s="12"/>
    </row>
    <row r="69" spans="1:33" x14ac:dyDescent="0.25">
      <c r="AA69" s="1"/>
      <c r="AF69" s="1"/>
      <c r="AG69" s="12"/>
    </row>
    <row r="70" spans="1:33" x14ac:dyDescent="0.25">
      <c r="AA70" s="1"/>
      <c r="AF70" s="1"/>
      <c r="AG70" s="12"/>
    </row>
    <row r="71" spans="1:33" x14ac:dyDescent="0.25">
      <c r="AA71" s="1"/>
      <c r="AF71" s="1"/>
      <c r="AG71" s="12"/>
    </row>
    <row r="72" spans="1:33" x14ac:dyDescent="0.25">
      <c r="AA72" s="1"/>
      <c r="AF72" s="1"/>
      <c r="AG72" s="12"/>
    </row>
    <row r="73" spans="1:33" x14ac:dyDescent="0.25">
      <c r="AA73" s="1"/>
      <c r="AF73" s="1"/>
      <c r="AG73" s="12"/>
    </row>
    <row r="74" spans="1:33" x14ac:dyDescent="0.25">
      <c r="AA74" s="1"/>
      <c r="AF74" s="1"/>
      <c r="AG74" s="12"/>
    </row>
    <row r="75" spans="1:33" x14ac:dyDescent="0.25">
      <c r="AA75" s="1"/>
      <c r="AF75" s="1"/>
      <c r="AG75" s="12"/>
    </row>
    <row r="76" spans="1:33" x14ac:dyDescent="0.25">
      <c r="AA76" s="1"/>
      <c r="AF76" s="1"/>
      <c r="AG76" s="12"/>
    </row>
    <row r="77" spans="1:33" x14ac:dyDescent="0.25">
      <c r="AA77" s="1"/>
      <c r="AF77" s="1"/>
      <c r="AG77" s="12"/>
    </row>
    <row r="78" spans="1:33" x14ac:dyDescent="0.25">
      <c r="AA78" s="1"/>
      <c r="AF78" s="1"/>
      <c r="AG78" s="12"/>
    </row>
    <row r="79" spans="1:33" x14ac:dyDescent="0.25">
      <c r="AA79" s="1"/>
      <c r="AF79" s="1"/>
      <c r="AG79" s="12"/>
    </row>
    <row r="80" spans="1:33" x14ac:dyDescent="0.25">
      <c r="AA80" s="1"/>
      <c r="AF80" s="1"/>
      <c r="AG80" s="12"/>
    </row>
    <row r="81" spans="27:33" x14ac:dyDescent="0.25">
      <c r="AA81" s="1"/>
      <c r="AF81" s="1"/>
      <c r="AG81" s="12"/>
    </row>
    <row r="82" spans="27:33" x14ac:dyDescent="0.25">
      <c r="AA82" s="1"/>
      <c r="AF82" s="1"/>
      <c r="AG82" s="12"/>
    </row>
    <row r="83" spans="27:33" x14ac:dyDescent="0.25">
      <c r="AA83" s="1"/>
      <c r="AF83" s="1"/>
      <c r="AG83" s="12"/>
    </row>
    <row r="84" spans="27:33" x14ac:dyDescent="0.25">
      <c r="AA84" s="1"/>
      <c r="AF84" s="1"/>
      <c r="AG84" s="12"/>
    </row>
    <row r="85" spans="27:33" x14ac:dyDescent="0.25">
      <c r="AA85" s="1"/>
      <c r="AF85" s="1"/>
      <c r="AG85" s="12"/>
    </row>
    <row r="86" spans="27:33" x14ac:dyDescent="0.25">
      <c r="AA86" s="1"/>
      <c r="AF86" s="1"/>
      <c r="AG86" s="12"/>
    </row>
    <row r="87" spans="27:33" x14ac:dyDescent="0.25">
      <c r="AA87" s="1"/>
      <c r="AF87" s="1"/>
      <c r="AG87" s="12"/>
    </row>
    <row r="88" spans="27:33" x14ac:dyDescent="0.25">
      <c r="AA88" s="1"/>
      <c r="AF88" s="1"/>
      <c r="AG88" s="12"/>
    </row>
    <row r="89" spans="27:33" x14ac:dyDescent="0.25">
      <c r="AA89" s="1"/>
      <c r="AF89" s="1"/>
      <c r="AG89" s="12"/>
    </row>
    <row r="90" spans="27:33" x14ac:dyDescent="0.25">
      <c r="AA90" s="1"/>
      <c r="AF90" s="1"/>
      <c r="AG90" s="12"/>
    </row>
    <row r="91" spans="27:33" x14ac:dyDescent="0.25">
      <c r="AA91" s="1"/>
      <c r="AF91" s="1"/>
      <c r="AG91" s="12"/>
    </row>
    <row r="92" spans="27:33" x14ac:dyDescent="0.25">
      <c r="AA92" s="1"/>
      <c r="AF92" s="1"/>
      <c r="AG92" s="12"/>
    </row>
    <row r="93" spans="27:33" x14ac:dyDescent="0.25">
      <c r="AA93" s="1"/>
      <c r="AF93" s="1"/>
      <c r="AG93" s="12"/>
    </row>
    <row r="94" spans="27:33" x14ac:dyDescent="0.25">
      <c r="AA94" s="1"/>
      <c r="AF94" s="1"/>
      <c r="AG94" s="12"/>
    </row>
    <row r="95" spans="27:33" x14ac:dyDescent="0.25">
      <c r="AA95" s="1"/>
      <c r="AF95" s="1"/>
      <c r="AG95" s="12"/>
    </row>
    <row r="96" spans="27:33" x14ac:dyDescent="0.25">
      <c r="AA96" s="1"/>
      <c r="AF96" s="1"/>
      <c r="AG96" s="12"/>
    </row>
    <row r="97" spans="27:33" x14ac:dyDescent="0.25">
      <c r="AA97" s="1"/>
      <c r="AF97" s="1"/>
      <c r="AG97" s="12"/>
    </row>
    <row r="98" spans="27:33" x14ac:dyDescent="0.25">
      <c r="AA98" s="1"/>
      <c r="AF98" s="1"/>
      <c r="AG98" s="12"/>
    </row>
    <row r="99" spans="27:33" x14ac:dyDescent="0.25">
      <c r="AA99" s="1"/>
      <c r="AF99" s="1"/>
      <c r="AG99" s="12"/>
    </row>
    <row r="100" spans="27:33" x14ac:dyDescent="0.25">
      <c r="AA100" s="1"/>
      <c r="AF100" s="1"/>
      <c r="AG100" s="12"/>
    </row>
    <row r="101" spans="27:33" x14ac:dyDescent="0.25">
      <c r="AA101" s="1"/>
      <c r="AF101" s="1"/>
      <c r="AG101" s="12"/>
    </row>
    <row r="102" spans="27:33" x14ac:dyDescent="0.25">
      <c r="AA102" s="1"/>
      <c r="AF102" s="1"/>
      <c r="AG102" s="12"/>
    </row>
    <row r="103" spans="27:33" x14ac:dyDescent="0.25">
      <c r="AA103" s="1"/>
      <c r="AF103" s="1"/>
      <c r="AG103" s="12"/>
    </row>
    <row r="104" spans="27:33" x14ac:dyDescent="0.25">
      <c r="AA104" s="1"/>
      <c r="AF104" s="1"/>
      <c r="AG104" s="12"/>
    </row>
    <row r="105" spans="27:33" x14ac:dyDescent="0.25">
      <c r="AA105" s="1"/>
      <c r="AF105" s="1"/>
      <c r="AG105" s="12"/>
    </row>
    <row r="106" spans="27:33" x14ac:dyDescent="0.25">
      <c r="AA106" s="1"/>
      <c r="AF106" s="1"/>
      <c r="AG106" s="12"/>
    </row>
    <row r="107" spans="27:33" x14ac:dyDescent="0.25">
      <c r="AA107" s="1"/>
      <c r="AF107" s="1"/>
      <c r="AG107" s="12"/>
    </row>
    <row r="108" spans="27:33" x14ac:dyDescent="0.25">
      <c r="AA108" s="1"/>
      <c r="AF108" s="1"/>
      <c r="AG108" s="12"/>
    </row>
    <row r="109" spans="27:33" x14ac:dyDescent="0.25">
      <c r="AA109" s="1"/>
      <c r="AF109" s="1"/>
      <c r="AG109" s="12"/>
    </row>
    <row r="110" spans="27:33" x14ac:dyDescent="0.25">
      <c r="AA110" s="1"/>
      <c r="AF110" s="1"/>
      <c r="AG110" s="12"/>
    </row>
    <row r="111" spans="27:33" x14ac:dyDescent="0.25">
      <c r="AA111" s="1"/>
      <c r="AF111" s="1"/>
      <c r="AG111" s="12"/>
    </row>
    <row r="112" spans="27:33" x14ac:dyDescent="0.25">
      <c r="AA112" s="1"/>
      <c r="AF112" s="1"/>
      <c r="AG112" s="12"/>
    </row>
    <row r="113" spans="27:33" x14ac:dyDescent="0.25">
      <c r="AA113" s="1"/>
      <c r="AF113" s="1"/>
      <c r="AG113" s="12"/>
    </row>
    <row r="114" spans="27:33" x14ac:dyDescent="0.25">
      <c r="AA114" s="1"/>
      <c r="AF114" s="1"/>
      <c r="AG114" s="12"/>
    </row>
    <row r="115" spans="27:33" x14ac:dyDescent="0.25">
      <c r="AA115" s="1"/>
      <c r="AF115" s="1"/>
      <c r="AG115" s="12"/>
    </row>
    <row r="116" spans="27:33" x14ac:dyDescent="0.25">
      <c r="AA116" s="1"/>
      <c r="AF116" s="1"/>
      <c r="AG116" s="12"/>
    </row>
    <row r="117" spans="27:33" x14ac:dyDescent="0.25">
      <c r="AA117" s="1"/>
      <c r="AF117" s="1"/>
      <c r="AG117" s="12"/>
    </row>
    <row r="118" spans="27:33" x14ac:dyDescent="0.25">
      <c r="AA118" s="1"/>
      <c r="AF118" s="1"/>
      <c r="AG118" s="12"/>
    </row>
    <row r="119" spans="27:33" x14ac:dyDescent="0.25">
      <c r="AA119" s="1"/>
      <c r="AF119" s="1"/>
      <c r="AG119" s="12"/>
    </row>
    <row r="120" spans="27:33" x14ac:dyDescent="0.25">
      <c r="AA120" s="1"/>
      <c r="AF120" s="1"/>
      <c r="AG120" s="12"/>
    </row>
    <row r="121" spans="27:33" x14ac:dyDescent="0.25">
      <c r="AA121" s="1"/>
      <c r="AF121" s="1"/>
      <c r="AG121" s="12"/>
    </row>
    <row r="122" spans="27:33" x14ac:dyDescent="0.25">
      <c r="AA122" s="1"/>
      <c r="AF122" s="1"/>
      <c r="AG122" s="12"/>
    </row>
    <row r="123" spans="27:33" x14ac:dyDescent="0.25">
      <c r="AA123" s="1"/>
      <c r="AF123" s="1"/>
      <c r="AG123" s="12"/>
    </row>
    <row r="124" spans="27:33" x14ac:dyDescent="0.25">
      <c r="AA124" s="1"/>
      <c r="AF124" s="1"/>
      <c r="AG124" s="12"/>
    </row>
    <row r="125" spans="27:33" x14ac:dyDescent="0.25">
      <c r="AA125" s="1"/>
      <c r="AF125" s="1"/>
      <c r="AG125" s="12"/>
    </row>
    <row r="126" spans="27:33" x14ac:dyDescent="0.25">
      <c r="AA126" s="1"/>
      <c r="AF126" s="1"/>
      <c r="AG126" s="12"/>
    </row>
    <row r="127" spans="27:33" x14ac:dyDescent="0.25">
      <c r="AA127" s="1"/>
      <c r="AF127" s="1"/>
      <c r="AG127" s="12"/>
    </row>
    <row r="128" spans="27:33" x14ac:dyDescent="0.25">
      <c r="AA128" s="1"/>
      <c r="AF128" s="1"/>
      <c r="AG128" s="12"/>
    </row>
    <row r="129" spans="27:33" x14ac:dyDescent="0.25">
      <c r="AA129" s="1"/>
      <c r="AF129" s="1"/>
      <c r="AG129" s="12"/>
    </row>
    <row r="130" spans="27:33" x14ac:dyDescent="0.25">
      <c r="AA130" s="1"/>
      <c r="AF130" s="1"/>
      <c r="AG130" s="12"/>
    </row>
    <row r="131" spans="27:33" x14ac:dyDescent="0.25">
      <c r="AA131" s="1"/>
      <c r="AF131" s="1"/>
      <c r="AG131" s="12"/>
    </row>
    <row r="132" spans="27:33" x14ac:dyDescent="0.25">
      <c r="AA132" s="1"/>
      <c r="AF132" s="1"/>
      <c r="AG132" s="12"/>
    </row>
    <row r="133" spans="27:33" x14ac:dyDescent="0.25">
      <c r="AA133" s="1"/>
      <c r="AF133" s="1"/>
      <c r="AG133" s="12"/>
    </row>
    <row r="134" spans="27:33" x14ac:dyDescent="0.25">
      <c r="AA134" s="1"/>
      <c r="AF134" s="1"/>
      <c r="AG134" s="12"/>
    </row>
    <row r="135" spans="27:33" x14ac:dyDescent="0.25">
      <c r="AA135" s="1"/>
      <c r="AF135" s="1"/>
      <c r="AG135" s="12"/>
    </row>
    <row r="136" spans="27:33" x14ac:dyDescent="0.25">
      <c r="AA136" s="1"/>
      <c r="AF136" s="1"/>
      <c r="AG136" s="12"/>
    </row>
    <row r="137" spans="27:33" x14ac:dyDescent="0.25">
      <c r="AA137" s="1"/>
      <c r="AF137" s="1"/>
      <c r="AG137" s="12"/>
    </row>
    <row r="138" spans="27:33" x14ac:dyDescent="0.25">
      <c r="AA138" s="1"/>
      <c r="AF138" s="1"/>
      <c r="AG138" s="12"/>
    </row>
    <row r="139" spans="27:33" x14ac:dyDescent="0.25">
      <c r="AA139" s="1"/>
      <c r="AF139" s="1"/>
      <c r="AG139" s="12"/>
    </row>
    <row r="140" spans="27:33" x14ac:dyDescent="0.25">
      <c r="AA140" s="1"/>
      <c r="AF140" s="1"/>
      <c r="AG140" s="12"/>
    </row>
    <row r="141" spans="27:33" x14ac:dyDescent="0.25">
      <c r="AA141" s="1"/>
      <c r="AF141" s="1"/>
      <c r="AG141" s="12"/>
    </row>
    <row r="142" spans="27:33" x14ac:dyDescent="0.25">
      <c r="AA142" s="1"/>
      <c r="AF142" s="1"/>
      <c r="AG142" s="12"/>
    </row>
    <row r="143" spans="27:33" x14ac:dyDescent="0.25">
      <c r="AA143" s="1"/>
      <c r="AF143" s="1"/>
      <c r="AG143" s="12"/>
    </row>
    <row r="144" spans="27:33" x14ac:dyDescent="0.25">
      <c r="AA144" s="1"/>
      <c r="AF144" s="1"/>
      <c r="AG144" s="12"/>
    </row>
    <row r="145" spans="27:32" x14ac:dyDescent="0.25">
      <c r="AA145" s="1"/>
      <c r="AF145" s="1"/>
    </row>
    <row r="146" spans="27:32" x14ac:dyDescent="0.25">
      <c r="AA146" s="1"/>
      <c r="AF146" s="1"/>
    </row>
    <row r="147" spans="27:32" x14ac:dyDescent="0.25">
      <c r="AA147" s="1">
        <f>_xll.QDates_SubtractPeriod(AA146,"1b","P","LON")</f>
        <v>-1</v>
      </c>
      <c r="AB147" t="str">
        <f>_xll.BDH("CO1 Comdty","PX_SETTLE",$AA147,$AA147)</f>
        <v>#N/A Datetime</v>
      </c>
      <c r="AC147" t="str">
        <f>_xll.BDH("QS1 Comdty","PX_SETTLE",$AA147,$AA147)</f>
        <v>#N/A Datetime</v>
      </c>
      <c r="AD147" t="str">
        <f>_xll.BDH("FSS1M1 Comdty","PX_LAST",$AA147,$AA147)</f>
        <v>#N/A Datetime</v>
      </c>
      <c r="AE147" t="str">
        <f>_xll.BDH("XO1 Comdty","PX_LAST",$AA147,$AA147)</f>
        <v>#N/A Datetime</v>
      </c>
      <c r="AF147" s="1"/>
    </row>
    <row r="148" spans="27:32" x14ac:dyDescent="0.25">
      <c r="AA148" s="1">
        <f>_xll.QDates_SubtractPeriod(AA147,"1b","P","LON")</f>
        <v>-2</v>
      </c>
      <c r="AB148" t="str">
        <f>_xll.BDH("CO1 Comdty","PX_SETTLE",$AA148,$AA148)</f>
        <v>#N/A Datetime</v>
      </c>
      <c r="AC148" t="str">
        <f>_xll.BDH("QS1 Comdty","PX_SETTLE",$AA148,$AA148)</f>
        <v>#N/A Datetime</v>
      </c>
      <c r="AD148" t="str">
        <f>_xll.BDH("FSS1M1 Comdty","PX_LAST",$AA148,$AA148)</f>
        <v>#N/A Datetime</v>
      </c>
      <c r="AE148" t="str">
        <f>_xll.BDH("XO1 Comdty","PX_LAST",$AA148,$AA148)</f>
        <v>#N/A Datetime</v>
      </c>
      <c r="AF148" s="1"/>
    </row>
    <row r="149" spans="27:32" x14ac:dyDescent="0.25">
      <c r="AA149" s="1">
        <f>_xll.QDates_SubtractPeriod(AA148,"1b","P","LON")</f>
        <v>-3</v>
      </c>
      <c r="AB149" t="str">
        <f>_xll.BDH("CO1 Comdty","PX_SETTLE",$AA149,$AA149)</f>
        <v>#N/A Datetime</v>
      </c>
      <c r="AC149" t="str">
        <f>_xll.BDH("QS1 Comdty","PX_SETTLE",$AA149,$AA149)</f>
        <v>#N/A Datetime</v>
      </c>
      <c r="AD149" t="str">
        <f>_xll.BDH("FSS1M1 Comdty","PX_LAST",$AA149,$AA149)</f>
        <v>#N/A Datetime</v>
      </c>
      <c r="AE149" t="str">
        <f>_xll.BDH("XO1 Comdty","PX_LAST",$AA149,$AA149)</f>
        <v>#N/A Datetime</v>
      </c>
      <c r="AF149" s="1"/>
    </row>
    <row r="150" spans="27:32" x14ac:dyDescent="0.25">
      <c r="AA150" s="1">
        <f>_xll.QDates_SubtractPeriod(AA149,"1b","P","LON")</f>
        <v>-4</v>
      </c>
      <c r="AB150" t="str">
        <f>_xll.BDH("CO1 Comdty","PX_SETTLE",$AA150,$AA150)</f>
        <v>#N/A Datetime</v>
      </c>
      <c r="AC150" t="str">
        <f>_xll.BDH("QS1 Comdty","PX_SETTLE",$AA150,$AA150)</f>
        <v>#N/A Datetime</v>
      </c>
      <c r="AD150" t="str">
        <f>_xll.BDH("FSS1M1 Comdty","PX_LAST",$AA150,$AA150)</f>
        <v>#N/A Datetime</v>
      </c>
      <c r="AE150" t="str">
        <f>_xll.BDH("XO1 Comdty","PX_LAST",$AA150,$AA150)</f>
        <v>#N/A Datetime</v>
      </c>
      <c r="AF150" s="1"/>
    </row>
    <row r="151" spans="27:32" x14ac:dyDescent="0.25">
      <c r="AA151" s="1">
        <f>_xll.QDates_SubtractPeriod(AA150,"1b","P","LON")</f>
        <v>-5</v>
      </c>
      <c r="AB151" t="str">
        <f>_xll.BDH("CO1 Comdty","PX_SETTLE",$AA151,$AA151)</f>
        <v>#N/A Datetime</v>
      </c>
      <c r="AC151" t="str">
        <f>_xll.BDH("QS1 Comdty","PX_SETTLE",$AA151,$AA151)</f>
        <v>#N/A Datetime</v>
      </c>
      <c r="AD151" t="str">
        <f>_xll.BDH("FSS1M1 Comdty","PX_LAST",$AA151,$AA151)</f>
        <v>#N/A Datetime</v>
      </c>
      <c r="AE151" t="str">
        <f>_xll.BDH("XO1 Comdty","PX_LAST",$AA151,$AA151)</f>
        <v>#N/A Datetime</v>
      </c>
      <c r="AF151" s="1"/>
    </row>
    <row r="152" spans="27:32" x14ac:dyDescent="0.25">
      <c r="AA152" s="1">
        <f>_xll.QDates_SubtractPeriod(AA151,"1b","P","LON")</f>
        <v>-8</v>
      </c>
      <c r="AB152" t="str">
        <f>_xll.BDH("CO1 Comdty","PX_SETTLE",$AA152,$AA152)</f>
        <v>#N/A Datetime</v>
      </c>
      <c r="AC152" t="str">
        <f>_xll.BDH("QS1 Comdty","PX_SETTLE",$AA152,$AA152)</f>
        <v>#N/A Datetime</v>
      </c>
      <c r="AD152" t="str">
        <f>_xll.BDH("FSS1M1 Comdty","PX_LAST",$AA152,$AA152)</f>
        <v>#N/A Datetime</v>
      </c>
      <c r="AE152" t="str">
        <f>_xll.BDH("XO1 Comdty","PX_LAST",$AA152,$AA152)</f>
        <v>#N/A Datetime</v>
      </c>
      <c r="AF152" s="1"/>
    </row>
    <row r="153" spans="27:32" x14ac:dyDescent="0.25">
      <c r="AA153" s="1">
        <f>_xll.QDates_SubtractPeriod(AA152,"1b","P","LON")</f>
        <v>-9</v>
      </c>
      <c r="AB153" t="str">
        <f>_xll.BDH("CO1 Comdty","PX_SETTLE",$AA153,$AA153)</f>
        <v>#N/A Datetime</v>
      </c>
      <c r="AC153" t="str">
        <f>_xll.BDH("QS1 Comdty","PX_SETTLE",$AA153,$AA153)</f>
        <v>#N/A Datetime</v>
      </c>
      <c r="AD153" t="str">
        <f>_xll.BDH("FSS1M1 Comdty","PX_LAST",$AA153,$AA153)</f>
        <v>#N/A Datetime</v>
      </c>
      <c r="AE153" t="str">
        <f>_xll.BDH("XO1 Comdty","PX_LAST",$AA153,$AA153)</f>
        <v>#N/A Datetime</v>
      </c>
      <c r="AF153" s="1"/>
    </row>
    <row r="154" spans="27:32" x14ac:dyDescent="0.25">
      <c r="AA154" s="1">
        <f>_xll.QDates_SubtractPeriod(AA153,"1b","P","LON")</f>
        <v>-10</v>
      </c>
      <c r="AB154" t="str">
        <f>_xll.BDH("CO1 Comdty","PX_SETTLE",$AA154,$AA154)</f>
        <v>#N/A Datetime</v>
      </c>
      <c r="AC154" t="str">
        <f>_xll.BDH("QS1 Comdty","PX_SETTLE",$AA154,$AA154)</f>
        <v>#N/A Datetime</v>
      </c>
      <c r="AD154" t="str">
        <f>_xll.BDH("FSS1M1 Comdty","PX_LAST",$AA154,$AA154)</f>
        <v>#N/A Datetime</v>
      </c>
      <c r="AE154" t="str">
        <f>_xll.BDH("XO1 Comdty","PX_LAST",$AA154,$AA154)</f>
        <v>#N/A Datetime</v>
      </c>
      <c r="AF154" s="1"/>
    </row>
    <row r="155" spans="27:32" x14ac:dyDescent="0.25">
      <c r="AA155" s="1">
        <f>_xll.QDates_SubtractPeriod(AA154,"1b","P","LON")</f>
        <v>-11</v>
      </c>
      <c r="AB155" t="str">
        <f>_xll.BDH("CO1 Comdty","PX_SETTLE",$AA155,$AA155)</f>
        <v>#N/A Datetime</v>
      </c>
      <c r="AC155" t="str">
        <f>_xll.BDH("QS1 Comdty","PX_SETTLE",$AA155,$AA155)</f>
        <v>#N/A Datetime</v>
      </c>
      <c r="AD155" t="str">
        <f>_xll.BDH("FSS1M1 Comdty","PX_LAST",$AA155,$AA155)</f>
        <v>#N/A Datetime</v>
      </c>
      <c r="AE155" t="str">
        <f>_xll.BDH("XO1 Comdty","PX_LAST",$AA155,$AA155)</f>
        <v>#N/A Datetime</v>
      </c>
      <c r="AF155" s="1"/>
    </row>
    <row r="156" spans="27:32" x14ac:dyDescent="0.25">
      <c r="AA156" s="1">
        <f>_xll.QDates_SubtractPeriod(AA155,"1b","P","LON")</f>
        <v>-12</v>
      </c>
      <c r="AB156" t="str">
        <f>_xll.BDH("CO1 Comdty","PX_SETTLE",$AA156,$AA156)</f>
        <v>#N/A Datetime</v>
      </c>
      <c r="AC156" t="str">
        <f>_xll.BDH("QS1 Comdty","PX_SETTLE",$AA156,$AA156)</f>
        <v>#N/A Datetime</v>
      </c>
      <c r="AD156" t="str">
        <f>_xll.BDH("FSS1M1 Comdty","PX_LAST",$AA156,$AA156)</f>
        <v>#N/A Datetime</v>
      </c>
      <c r="AE156" t="str">
        <f>_xll.BDH("XO1 Comdty","PX_LAST",$AA156,$AA156)</f>
        <v>#N/A Datetime</v>
      </c>
      <c r="AF156" s="1"/>
    </row>
    <row r="157" spans="27:32" x14ac:dyDescent="0.25">
      <c r="AA157" s="1">
        <f>_xll.QDates_SubtractPeriod(AA156,"1b","P","LON")</f>
        <v>-15</v>
      </c>
      <c r="AB157" t="str">
        <f>_xll.BDH("CO1 Comdty","PX_SETTLE",$AA157,$AA157)</f>
        <v>#N/A Datetime</v>
      </c>
      <c r="AC157" t="str">
        <f>_xll.BDH("QS1 Comdty","PX_SETTLE",$AA157,$AA157)</f>
        <v>#N/A Datetime</v>
      </c>
      <c r="AD157" t="str">
        <f>_xll.BDH("FSS1M1 Comdty","PX_LAST",$AA157,$AA157)</f>
        <v>#N/A Datetime</v>
      </c>
      <c r="AE157" t="str">
        <f>_xll.BDH("XO1 Comdty","PX_LAST",$AA157,$AA157)</f>
        <v>#N/A Datetime</v>
      </c>
      <c r="AF157" s="1"/>
    </row>
    <row r="158" spans="27:32" x14ac:dyDescent="0.25">
      <c r="AA158" s="1">
        <f>_xll.QDates_SubtractPeriod(AA157,"1b","P","LON")</f>
        <v>-16</v>
      </c>
      <c r="AB158" t="str">
        <f>_xll.BDH("CO1 Comdty","PX_SETTLE",$AA158,$AA158)</f>
        <v>#N/A Datetime</v>
      </c>
      <c r="AC158" t="str">
        <f>_xll.BDH("QS1 Comdty","PX_SETTLE",$AA158,$AA158)</f>
        <v>#N/A Datetime</v>
      </c>
      <c r="AD158" t="str">
        <f>_xll.BDH("FSS1M1 Comdty","PX_LAST",$AA158,$AA158)</f>
        <v>#N/A Datetime</v>
      </c>
      <c r="AE158" t="str">
        <f>_xll.BDH("XO1 Comdty","PX_LAST",$AA158,$AA158)</f>
        <v>#N/A Datetime</v>
      </c>
      <c r="AF158" s="1"/>
    </row>
    <row r="159" spans="27:32" x14ac:dyDescent="0.25">
      <c r="AA159" s="1">
        <f>_xll.QDates_SubtractPeriod(AA158,"1b","P","LON")</f>
        <v>-17</v>
      </c>
      <c r="AB159" t="str">
        <f>_xll.BDH("CO1 Comdty","PX_SETTLE",$AA159,$AA159)</f>
        <v>#N/A Datetime</v>
      </c>
      <c r="AC159" t="str">
        <f>_xll.BDH("QS1 Comdty","PX_SETTLE",$AA159,$AA159)</f>
        <v>#N/A Datetime</v>
      </c>
      <c r="AD159" t="str">
        <f>_xll.BDH("FSS1M1 Comdty","PX_LAST",$AA159,$AA159)</f>
        <v>#N/A Datetime</v>
      </c>
      <c r="AE159" t="str">
        <f>_xll.BDH("XO1 Comdty","PX_LAST",$AA159,$AA159)</f>
        <v>#N/A Datetime</v>
      </c>
      <c r="AF159" s="1"/>
    </row>
    <row r="160" spans="27:32" x14ac:dyDescent="0.25">
      <c r="AA160" s="1">
        <f>_xll.QDates_SubtractPeriod(AA159,"1b","P","LON")</f>
        <v>-18</v>
      </c>
      <c r="AB160" t="str">
        <f>_xll.BDH("CO1 Comdty","PX_SETTLE",$AA160,$AA160)</f>
        <v>#N/A Datetime</v>
      </c>
      <c r="AC160" t="str">
        <f>_xll.BDH("QS1 Comdty","PX_SETTLE",$AA160,$AA160)</f>
        <v>#N/A Datetime</v>
      </c>
      <c r="AD160" t="str">
        <f>_xll.BDH("FSS1M1 Comdty","PX_LAST",$AA160,$AA160)</f>
        <v>#N/A Datetime</v>
      </c>
      <c r="AE160" t="str">
        <f>_xll.BDH("XO1 Comdty","PX_LAST",$AA160,$AA160)</f>
        <v>#N/A Datetime</v>
      </c>
      <c r="AF160" s="1"/>
    </row>
    <row r="161" spans="27:32" x14ac:dyDescent="0.25">
      <c r="AA161" s="1">
        <f>_xll.QDates_SubtractPeriod(AA160,"1b","P","LON")</f>
        <v>-19</v>
      </c>
      <c r="AB161" t="str">
        <f>_xll.BDH("CO1 Comdty","PX_SETTLE",$AA161,$AA161)</f>
        <v>#N/A Datetime</v>
      </c>
      <c r="AC161" t="str">
        <f>_xll.BDH("QS1 Comdty","PX_SETTLE",$AA161,$AA161)</f>
        <v>#N/A Datetime</v>
      </c>
      <c r="AD161" t="str">
        <f>_xll.BDH("FSS1M1 Comdty","PX_LAST",$AA161,$AA161)</f>
        <v>#N/A Datetime</v>
      </c>
      <c r="AE161" t="str">
        <f>_xll.BDH("XO1 Comdty","PX_LAST",$AA161,$AA161)</f>
        <v>#N/A Datetime</v>
      </c>
      <c r="AF161" s="1"/>
    </row>
    <row r="162" spans="27:32" x14ac:dyDescent="0.25">
      <c r="AA162" s="1">
        <f>_xll.QDates_SubtractPeriod(AA161,"1b","P","LON")</f>
        <v>-22</v>
      </c>
      <c r="AB162" t="str">
        <f>_xll.BDH("CO1 Comdty","PX_SETTLE",$AA162,$AA162)</f>
        <v>#N/A Datetime</v>
      </c>
      <c r="AC162" t="str">
        <f>_xll.BDH("QS1 Comdty","PX_SETTLE",$AA162,$AA162)</f>
        <v>#N/A Datetime</v>
      </c>
      <c r="AD162" t="str">
        <f>_xll.BDH("FSS1M1 Comdty","PX_LAST",$AA162,$AA162)</f>
        <v>#N/A Datetime</v>
      </c>
      <c r="AE162" t="str">
        <f>_xll.BDH("XO1 Comdty","PX_LAST",$AA162,$AA162)</f>
        <v>#N/A Datetime</v>
      </c>
      <c r="AF162" s="1"/>
    </row>
    <row r="163" spans="27:32" x14ac:dyDescent="0.25">
      <c r="AA163" s="1">
        <f>_xll.QDates_SubtractPeriod(AA162,"1b","P","LON")</f>
        <v>-23</v>
      </c>
      <c r="AB163" t="str">
        <f>_xll.BDH("CO1 Comdty","PX_SETTLE",$AA163,$AA163)</f>
        <v>#N/A Datetime</v>
      </c>
      <c r="AC163" t="str">
        <f>_xll.BDH("QS1 Comdty","PX_SETTLE",$AA163,$AA163)</f>
        <v>#N/A Datetime</v>
      </c>
      <c r="AD163" t="str">
        <f>_xll.BDH("FSS1M1 Comdty","PX_LAST",$AA163,$AA163)</f>
        <v>#N/A Datetime</v>
      </c>
      <c r="AE163" t="str">
        <f>_xll.BDH("XO1 Comdty","PX_LAST",$AA163,$AA163)</f>
        <v>#N/A Datetime</v>
      </c>
      <c r="AF163" s="1"/>
    </row>
    <row r="164" spans="27:32" x14ac:dyDescent="0.25">
      <c r="AA164" s="1">
        <f>_xll.QDates_SubtractPeriod(AA163,"1b","P","LON")</f>
        <v>-24</v>
      </c>
      <c r="AB164" t="str">
        <f>_xll.BDH("CO1 Comdty","PX_SETTLE",$AA164,$AA164)</f>
        <v>#N/A Datetime</v>
      </c>
      <c r="AC164" t="str">
        <f>_xll.BDH("QS1 Comdty","PX_SETTLE",$AA164,$AA164)</f>
        <v>#N/A Datetime</v>
      </c>
      <c r="AD164" t="str">
        <f>_xll.BDH("FSS1M1 Comdty","PX_LAST",$AA164,$AA164)</f>
        <v>#N/A Datetime</v>
      </c>
      <c r="AE164" t="str">
        <f>_xll.BDH("XO1 Comdty","PX_LAST",$AA164,$AA164)</f>
        <v>#N/A Datetime</v>
      </c>
      <c r="AF164" s="1"/>
    </row>
    <row r="165" spans="27:32" x14ac:dyDescent="0.25">
      <c r="AA165" s="1">
        <f>_xll.QDates_SubtractPeriod(AA164,"1b","P","LON")</f>
        <v>-25</v>
      </c>
      <c r="AB165" t="str">
        <f>_xll.BDH("CO1 Comdty","PX_SETTLE",$AA165,$AA165)</f>
        <v>#N/A Datetime</v>
      </c>
      <c r="AC165" t="str">
        <f>_xll.BDH("QS1 Comdty","PX_SETTLE",$AA165,$AA165)</f>
        <v>#N/A Datetime</v>
      </c>
      <c r="AD165" t="str">
        <f>_xll.BDH("FSS1M1 Comdty","PX_LAST",$AA165,$AA165)</f>
        <v>#N/A Datetime</v>
      </c>
      <c r="AE165" t="str">
        <f>_xll.BDH("XO1 Comdty","PX_LAST",$AA165,$AA165)</f>
        <v>#N/A Datetime</v>
      </c>
      <c r="AF165" s="1"/>
    </row>
    <row r="166" spans="27:32" x14ac:dyDescent="0.25">
      <c r="AA166" s="1">
        <f>_xll.QDates_SubtractPeriod(AA165,"1b","P","LON")</f>
        <v>-26</v>
      </c>
      <c r="AB166" t="str">
        <f>_xll.BDH("CO1 Comdty","PX_SETTLE",$AA166,$AA166)</f>
        <v>#N/A Datetime</v>
      </c>
      <c r="AC166" t="str">
        <f>_xll.BDH("QS1 Comdty","PX_SETTLE",$AA166,$AA166)</f>
        <v>#N/A Datetime</v>
      </c>
      <c r="AD166" t="str">
        <f>_xll.BDH("FSS1M1 Comdty","PX_LAST",$AA166,$AA166)</f>
        <v>#N/A Datetime</v>
      </c>
      <c r="AE166" t="str">
        <f>_xll.BDH("XO1 Comdty","PX_LAST",$AA166,$AA166)</f>
        <v>#N/A Datetime</v>
      </c>
      <c r="AF166" s="1"/>
    </row>
    <row r="167" spans="27:32" x14ac:dyDescent="0.25">
      <c r="AA167" s="1">
        <f>_xll.QDates_SubtractPeriod(AA166,"1b","P","LON")</f>
        <v>-29</v>
      </c>
      <c r="AB167" t="str">
        <f>_xll.BDH("CO1 Comdty","PX_SETTLE",$AA167,$AA167)</f>
        <v>#N/A Datetime</v>
      </c>
      <c r="AC167" t="str">
        <f>_xll.BDH("QS1 Comdty","PX_SETTLE",$AA167,$AA167)</f>
        <v>#N/A Datetime</v>
      </c>
      <c r="AD167" t="str">
        <f>_xll.BDH("FSS1M1 Comdty","PX_LAST",$AA167,$AA167)</f>
        <v>#N/A Datetime</v>
      </c>
      <c r="AE167" t="str">
        <f>_xll.BDH("XO1 Comdty","PX_LAST",$AA167,$AA167)</f>
        <v>#N/A Datetime</v>
      </c>
      <c r="AF167" s="1"/>
    </row>
    <row r="168" spans="27:32" x14ac:dyDescent="0.25">
      <c r="AA168" s="1">
        <f>_xll.QDates_SubtractPeriod(AA167,"1b","P","LON")</f>
        <v>-30</v>
      </c>
      <c r="AB168" t="str">
        <f>_xll.BDH("CO1 Comdty","PX_SETTLE",$AA168,$AA168)</f>
        <v>#N/A Datetime</v>
      </c>
      <c r="AC168" t="str">
        <f>_xll.BDH("QS1 Comdty","PX_SETTLE",$AA168,$AA168)</f>
        <v>#N/A Datetime</v>
      </c>
      <c r="AD168" t="str">
        <f>_xll.BDH("FSS1M1 Comdty","PX_LAST",$AA168,$AA168)</f>
        <v>#N/A Datetime</v>
      </c>
      <c r="AE168" t="str">
        <f>_xll.BDH("XO1 Comdty","PX_LAST",$AA168,$AA168)</f>
        <v>#N/A Datetime</v>
      </c>
      <c r="AF168" s="1"/>
    </row>
    <row r="169" spans="27:32" x14ac:dyDescent="0.25">
      <c r="AA169" s="1">
        <f>_xll.QDates_SubtractPeriod(AA168,"1b","P","LON")</f>
        <v>-31</v>
      </c>
      <c r="AB169" t="str">
        <f>_xll.BDH("CO1 Comdty","PX_SETTLE",$AA169,$AA169)</f>
        <v>#N/A Datetime</v>
      </c>
      <c r="AC169" t="str">
        <f>_xll.BDH("QS1 Comdty","PX_SETTLE",$AA169,$AA169)</f>
        <v>#N/A Datetime</v>
      </c>
      <c r="AD169" t="str">
        <f>_xll.BDH("FSS1M1 Comdty","PX_LAST",$AA169,$AA169)</f>
        <v>#N/A Datetime</v>
      </c>
      <c r="AE169" t="str">
        <f>_xll.BDH("XO1 Comdty","PX_LAST",$AA169,$AA169)</f>
        <v>#N/A Datetime</v>
      </c>
      <c r="AF169" s="1"/>
    </row>
    <row r="170" spans="27:32" x14ac:dyDescent="0.25">
      <c r="AA170" s="1">
        <f>_xll.QDates_SubtractPeriod(AA169,"1b","P","LON")</f>
        <v>-32</v>
      </c>
      <c r="AB170" t="str">
        <f>_xll.BDH("CO1 Comdty","PX_SETTLE",$AA170,$AA170)</f>
        <v>#N/A Datetime</v>
      </c>
      <c r="AC170" t="str">
        <f>_xll.BDH("QS1 Comdty","PX_SETTLE",$AA170,$AA170)</f>
        <v>#N/A Datetime</v>
      </c>
      <c r="AD170" t="str">
        <f>_xll.BDH("FSS1M1 Comdty","PX_LAST",$AA170,$AA170)</f>
        <v>#N/A Datetime</v>
      </c>
      <c r="AE170" t="str">
        <f>_xll.BDH("XO1 Comdty","PX_LAST",$AA170,$AA170)</f>
        <v>#N/A Datetime</v>
      </c>
      <c r="AF170" s="1"/>
    </row>
    <row r="171" spans="27:32" x14ac:dyDescent="0.25">
      <c r="AA171" s="1"/>
      <c r="AF171" s="28"/>
    </row>
    <row r="172" spans="27:32" x14ac:dyDescent="0.25">
      <c r="AA172" s="1"/>
      <c r="AF172" s="28"/>
    </row>
    <row r="173" spans="27:32" x14ac:dyDescent="0.25">
      <c r="AA173" s="1"/>
      <c r="AF173" s="28"/>
    </row>
    <row r="174" spans="27:32" x14ac:dyDescent="0.25">
      <c r="AA174" s="1"/>
      <c r="AF174" s="28"/>
    </row>
    <row r="175" spans="27:32" x14ac:dyDescent="0.25">
      <c r="AA175" s="1"/>
      <c r="AF175" s="28"/>
    </row>
    <row r="176" spans="27:32" x14ac:dyDescent="0.25">
      <c r="AA176" s="1"/>
      <c r="AF176" s="28"/>
    </row>
    <row r="177" spans="27:32" x14ac:dyDescent="0.25">
      <c r="AA177" s="1"/>
      <c r="AF177" s="28"/>
    </row>
    <row r="178" spans="27:32" x14ac:dyDescent="0.25">
      <c r="AA178" s="1"/>
      <c r="AF178" s="28"/>
    </row>
    <row r="179" spans="27:32" x14ac:dyDescent="0.25">
      <c r="AA179" s="1"/>
      <c r="AF179" s="28"/>
    </row>
    <row r="180" spans="27:32" x14ac:dyDescent="0.25">
      <c r="AA180" s="1"/>
      <c r="AF180" s="28"/>
    </row>
    <row r="181" spans="27:32" x14ac:dyDescent="0.25">
      <c r="AA181" s="1"/>
      <c r="AF181" s="28"/>
    </row>
    <row r="182" spans="27:32" x14ac:dyDescent="0.25">
      <c r="AA182" s="1"/>
      <c r="AF182" s="28"/>
    </row>
    <row r="183" spans="27:32" x14ac:dyDescent="0.25">
      <c r="AA183" s="1"/>
      <c r="AF183" s="28"/>
    </row>
    <row r="184" spans="27:32" x14ac:dyDescent="0.25">
      <c r="AA184" s="1"/>
      <c r="AF184" s="28"/>
    </row>
    <row r="185" spans="27:32" x14ac:dyDescent="0.25">
      <c r="AA185" s="1"/>
      <c r="AF185" s="28"/>
    </row>
    <row r="186" spans="27:32" x14ac:dyDescent="0.25">
      <c r="AA186" s="1"/>
      <c r="AF186" s="28"/>
    </row>
    <row r="187" spans="27:32" x14ac:dyDescent="0.25">
      <c r="AA187" s="1"/>
      <c r="AF187" s="28"/>
    </row>
    <row r="188" spans="27:32" x14ac:dyDescent="0.25">
      <c r="AA188" s="1"/>
      <c r="AF188" s="28"/>
    </row>
    <row r="189" spans="27:32" x14ac:dyDescent="0.25">
      <c r="AA189" s="1"/>
      <c r="AF189" s="28"/>
    </row>
    <row r="190" spans="27:32" x14ac:dyDescent="0.25">
      <c r="AA190" s="1"/>
      <c r="AF190" s="28"/>
    </row>
    <row r="191" spans="27:32" x14ac:dyDescent="0.25">
      <c r="AA191" s="1"/>
      <c r="AF191" s="28"/>
    </row>
    <row r="192" spans="27:32" x14ac:dyDescent="0.25">
      <c r="AA192" s="1"/>
      <c r="AF192" s="28"/>
    </row>
    <row r="193" spans="27:32" x14ac:dyDescent="0.25">
      <c r="AA193" s="1"/>
      <c r="AF193" s="28"/>
    </row>
    <row r="194" spans="27:32" x14ac:dyDescent="0.25">
      <c r="AA194" s="1"/>
      <c r="AF194" s="28"/>
    </row>
    <row r="195" spans="27:32" x14ac:dyDescent="0.25">
      <c r="AA195" s="1"/>
      <c r="AF195" s="28"/>
    </row>
    <row r="196" spans="27:32" x14ac:dyDescent="0.25">
      <c r="AA196" s="1"/>
      <c r="AF196" s="28"/>
    </row>
    <row r="197" spans="27:32" x14ac:dyDescent="0.25">
      <c r="AA197" s="1"/>
      <c r="AF197" s="28"/>
    </row>
    <row r="198" spans="27:32" x14ac:dyDescent="0.25">
      <c r="AA198" s="1"/>
      <c r="AF198" s="28"/>
    </row>
    <row r="199" spans="27:32" x14ac:dyDescent="0.25">
      <c r="AA199" s="1"/>
      <c r="AF199" s="28"/>
    </row>
    <row r="200" spans="27:32" x14ac:dyDescent="0.25">
      <c r="AA200" s="1"/>
      <c r="AF200" s="28"/>
    </row>
    <row r="201" spans="27:32" x14ac:dyDescent="0.25">
      <c r="AA201" s="1"/>
      <c r="AF201" s="28"/>
    </row>
    <row r="202" spans="27:32" x14ac:dyDescent="0.25">
      <c r="AA202" s="1"/>
      <c r="AF202" s="28"/>
    </row>
    <row r="203" spans="27:32" x14ac:dyDescent="0.25">
      <c r="AA203" s="1"/>
      <c r="AF203" s="28"/>
    </row>
    <row r="204" spans="27:32" x14ac:dyDescent="0.25">
      <c r="AA204" s="1"/>
      <c r="AF204" s="28"/>
    </row>
    <row r="205" spans="27:32" x14ac:dyDescent="0.25">
      <c r="AA205" s="1"/>
      <c r="AF205" s="28"/>
    </row>
    <row r="206" spans="27:32" x14ac:dyDescent="0.25">
      <c r="AA206" s="1"/>
      <c r="AF206" s="28"/>
    </row>
    <row r="207" spans="27:32" x14ac:dyDescent="0.25">
      <c r="AA207" s="1"/>
      <c r="AF207" s="28"/>
    </row>
    <row r="208" spans="27:32" x14ac:dyDescent="0.25">
      <c r="AA208" s="1"/>
      <c r="AF208" s="28"/>
    </row>
    <row r="209" spans="27:32" x14ac:dyDescent="0.25">
      <c r="AA209" s="1"/>
      <c r="AF209" s="28"/>
    </row>
    <row r="210" spans="27:32" x14ac:dyDescent="0.25">
      <c r="AA210" s="1"/>
      <c r="AF210" s="28"/>
    </row>
    <row r="211" spans="27:32" x14ac:dyDescent="0.25">
      <c r="AA211" s="1"/>
      <c r="AF211" s="28"/>
    </row>
    <row r="212" spans="27:32" x14ac:dyDescent="0.25">
      <c r="AA212" s="1"/>
      <c r="AF212" s="28"/>
    </row>
    <row r="213" spans="27:32" x14ac:dyDescent="0.25">
      <c r="AA213" s="1"/>
      <c r="AF213" s="28"/>
    </row>
    <row r="214" spans="27:32" x14ac:dyDescent="0.25">
      <c r="AA214" s="1"/>
      <c r="AF214" s="28"/>
    </row>
    <row r="215" spans="27:32" x14ac:dyDescent="0.25">
      <c r="AA215" s="1"/>
    </row>
    <row r="216" spans="27:32" x14ac:dyDescent="0.25">
      <c r="AA216" s="1"/>
    </row>
    <row r="217" spans="27:32" x14ac:dyDescent="0.25">
      <c r="AA217" s="1"/>
    </row>
    <row r="218" spans="27:32" x14ac:dyDescent="0.25">
      <c r="AA218" s="1"/>
    </row>
    <row r="219" spans="27:32" x14ac:dyDescent="0.25">
      <c r="AA219" s="1"/>
    </row>
    <row r="220" spans="27:32" x14ac:dyDescent="0.25">
      <c r="AA220" s="1"/>
    </row>
    <row r="221" spans="27:32" x14ac:dyDescent="0.25">
      <c r="AA221" s="1"/>
    </row>
    <row r="222" spans="27:32" x14ac:dyDescent="0.25">
      <c r="AA222" s="1"/>
    </row>
    <row r="223" spans="27:32" x14ac:dyDescent="0.25">
      <c r="AA223" s="1"/>
    </row>
    <row r="224" spans="27:32" x14ac:dyDescent="0.25">
      <c r="AA224" s="1"/>
    </row>
    <row r="225" spans="27:27" x14ac:dyDescent="0.25">
      <c r="AA225" s="1"/>
    </row>
    <row r="226" spans="27:27" x14ac:dyDescent="0.25">
      <c r="AA226" s="1"/>
    </row>
    <row r="227" spans="27:27" x14ac:dyDescent="0.25">
      <c r="AA227" s="1"/>
    </row>
    <row r="228" spans="27:27" x14ac:dyDescent="0.25">
      <c r="AA228" s="1"/>
    </row>
    <row r="229" spans="27:27" x14ac:dyDescent="0.25">
      <c r="AA229" s="1"/>
    </row>
    <row r="230" spans="27:27" x14ac:dyDescent="0.25">
      <c r="AA230" s="1"/>
    </row>
    <row r="231" spans="27:27" x14ac:dyDescent="0.25">
      <c r="AA231" s="1"/>
    </row>
    <row r="232" spans="27:27" x14ac:dyDescent="0.25">
      <c r="AA232" s="1"/>
    </row>
    <row r="233" spans="27:27" x14ac:dyDescent="0.25">
      <c r="AA233" s="1"/>
    </row>
    <row r="234" spans="27:27" x14ac:dyDescent="0.25">
      <c r="AA234" s="1"/>
    </row>
    <row r="235" spans="27:27" x14ac:dyDescent="0.25">
      <c r="AA235" s="1"/>
    </row>
    <row r="236" spans="27:27" x14ac:dyDescent="0.25">
      <c r="AA236" s="1"/>
    </row>
    <row r="237" spans="27:27" x14ac:dyDescent="0.25">
      <c r="AA237" s="1"/>
    </row>
    <row r="238" spans="27:27" x14ac:dyDescent="0.25">
      <c r="AA238" s="1"/>
    </row>
    <row r="239" spans="27:27" x14ac:dyDescent="0.25">
      <c r="AA239" s="1"/>
    </row>
    <row r="240" spans="27:27" x14ac:dyDescent="0.25">
      <c r="AA240" s="1"/>
    </row>
    <row r="241" spans="27:27" x14ac:dyDescent="0.25">
      <c r="AA241" s="1"/>
    </row>
    <row r="242" spans="27:27" x14ac:dyDescent="0.25">
      <c r="AA242" s="1"/>
    </row>
    <row r="243" spans="27:27" x14ac:dyDescent="0.25">
      <c r="AA243" s="1"/>
    </row>
    <row r="244" spans="27:27" x14ac:dyDescent="0.25">
      <c r="AA244" s="1"/>
    </row>
    <row r="245" spans="27:27" x14ac:dyDescent="0.25">
      <c r="AA245" s="1"/>
    </row>
    <row r="246" spans="27:27" x14ac:dyDescent="0.25">
      <c r="AA246" s="1"/>
    </row>
    <row r="247" spans="27:27" x14ac:dyDescent="0.25">
      <c r="AA247" s="1"/>
    </row>
    <row r="248" spans="27:27" x14ac:dyDescent="0.25">
      <c r="AA248" s="1"/>
    </row>
    <row r="249" spans="27:27" x14ac:dyDescent="0.25">
      <c r="AA249" s="1"/>
    </row>
    <row r="250" spans="27:27" x14ac:dyDescent="0.25">
      <c r="AA250" s="1"/>
    </row>
    <row r="251" spans="27:27" x14ac:dyDescent="0.25">
      <c r="AA251" s="1"/>
    </row>
    <row r="252" spans="27:27" x14ac:dyDescent="0.25">
      <c r="AA252" s="1"/>
    </row>
    <row r="253" spans="27:27" x14ac:dyDescent="0.25">
      <c r="AA253" s="1"/>
    </row>
    <row r="254" spans="27:27" x14ac:dyDescent="0.25">
      <c r="AA254" s="1"/>
    </row>
    <row r="255" spans="27:27" x14ac:dyDescent="0.25">
      <c r="AA255" s="1"/>
    </row>
    <row r="256" spans="27:27" x14ac:dyDescent="0.25">
      <c r="AA256" s="1"/>
    </row>
    <row r="257" spans="27:27" x14ac:dyDescent="0.25">
      <c r="AA257" s="1"/>
    </row>
    <row r="258" spans="27:27" x14ac:dyDescent="0.25">
      <c r="AA258" s="1"/>
    </row>
    <row r="259" spans="27:27" x14ac:dyDescent="0.25">
      <c r="AA259" s="1"/>
    </row>
    <row r="260" spans="27:27" x14ac:dyDescent="0.25">
      <c r="AA260" s="1"/>
    </row>
    <row r="261" spans="27:27" x14ac:dyDescent="0.25">
      <c r="AA261" s="1"/>
    </row>
    <row r="262" spans="27:27" x14ac:dyDescent="0.25">
      <c r="AA262" s="1"/>
    </row>
    <row r="263" spans="27:27" x14ac:dyDescent="0.25">
      <c r="AA263" s="1"/>
    </row>
    <row r="264" spans="27:27" x14ac:dyDescent="0.25">
      <c r="AA264" s="1"/>
    </row>
    <row r="265" spans="27:27" x14ac:dyDescent="0.25">
      <c r="AA265" s="1"/>
    </row>
    <row r="266" spans="27:27" x14ac:dyDescent="0.25">
      <c r="AA266" s="1"/>
    </row>
    <row r="267" spans="27:27" x14ac:dyDescent="0.25">
      <c r="AA267" s="1"/>
    </row>
    <row r="268" spans="27:27" x14ac:dyDescent="0.25">
      <c r="AA268" s="1"/>
    </row>
    <row r="269" spans="27:27" x14ac:dyDescent="0.25">
      <c r="AA269" s="1"/>
    </row>
    <row r="270" spans="27:27" x14ac:dyDescent="0.25">
      <c r="AA270" s="1"/>
    </row>
    <row r="271" spans="27:27" x14ac:dyDescent="0.25">
      <c r="AA271" s="1"/>
    </row>
    <row r="272" spans="27:27" x14ac:dyDescent="0.25">
      <c r="AA272" s="1"/>
    </row>
    <row r="273" spans="27:27" x14ac:dyDescent="0.25">
      <c r="AA273" s="1"/>
    </row>
    <row r="274" spans="27:27" x14ac:dyDescent="0.25">
      <c r="AA274" s="1"/>
    </row>
    <row r="275" spans="27:27" x14ac:dyDescent="0.25">
      <c r="AA275" s="1"/>
    </row>
    <row r="276" spans="27:27" x14ac:dyDescent="0.25">
      <c r="AA276" s="1"/>
    </row>
    <row r="277" spans="27:27" x14ac:dyDescent="0.25">
      <c r="AA277" s="1"/>
    </row>
    <row r="278" spans="27:27" x14ac:dyDescent="0.25">
      <c r="AA278" s="1"/>
    </row>
    <row r="279" spans="27:27" x14ac:dyDescent="0.25">
      <c r="AA279" s="1"/>
    </row>
    <row r="280" spans="27:27" x14ac:dyDescent="0.25">
      <c r="AA280" s="1"/>
    </row>
    <row r="281" spans="27:27" x14ac:dyDescent="0.25">
      <c r="AA281" s="1"/>
    </row>
    <row r="282" spans="27:27" x14ac:dyDescent="0.25">
      <c r="AA282" s="1"/>
    </row>
    <row r="283" spans="27:27" x14ac:dyDescent="0.25">
      <c r="AA283" s="1"/>
    </row>
    <row r="284" spans="27:27" x14ac:dyDescent="0.25">
      <c r="AA284" s="1"/>
    </row>
    <row r="285" spans="27:27" x14ac:dyDescent="0.25">
      <c r="AA285" s="1"/>
    </row>
    <row r="286" spans="27:27" x14ac:dyDescent="0.25">
      <c r="AA286" s="1"/>
    </row>
    <row r="287" spans="27:27" x14ac:dyDescent="0.25">
      <c r="AA287" s="1"/>
    </row>
    <row r="288" spans="27:27" x14ac:dyDescent="0.25">
      <c r="AA288" s="1"/>
    </row>
    <row r="289" spans="27:27" x14ac:dyDescent="0.25">
      <c r="AA289" s="1"/>
    </row>
    <row r="290" spans="27:27" x14ac:dyDescent="0.25">
      <c r="AA290" s="1"/>
    </row>
    <row r="291" spans="27:27" x14ac:dyDescent="0.25">
      <c r="AA291" s="1"/>
    </row>
  </sheetData>
  <mergeCells count="1">
    <mergeCell ref="V2:Z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130-0D9E-41A9-B826-31B54060F392}">
  <dimension ref="A1:V26"/>
  <sheetViews>
    <sheetView workbookViewId="0">
      <selection activeCell="E28" sqref="E28"/>
    </sheetView>
  </sheetViews>
  <sheetFormatPr defaultRowHeight="15" x14ac:dyDescent="0.25"/>
  <cols>
    <col min="1" max="2" width="9.140625" style="30"/>
    <col min="3" max="3" width="10.5703125" style="30" customWidth="1"/>
    <col min="4" max="4" width="9.5703125" style="30" bestFit="1" customWidth="1"/>
    <col min="5" max="5" width="10" style="30" bestFit="1" customWidth="1"/>
    <col min="6" max="6" width="12.28515625" style="30" customWidth="1"/>
    <col min="7" max="7" width="10" style="30" bestFit="1" customWidth="1"/>
    <col min="8" max="8" width="24.28515625" style="30" bestFit="1" customWidth="1"/>
    <col min="9" max="9" width="9.140625" style="30"/>
    <col min="10" max="10" width="15.5703125" style="30" customWidth="1"/>
    <col min="11" max="11" width="0.140625" style="30" customWidth="1"/>
    <col min="12" max="12" width="10.5703125" style="37" bestFit="1" customWidth="1"/>
    <col min="13" max="13" width="10.5703125" style="30" bestFit="1" customWidth="1"/>
    <col min="14" max="14" width="9.140625" style="30"/>
    <col min="15" max="15" width="9.140625" style="30" hidden="1" customWidth="1"/>
    <col min="16" max="16" width="13.140625" style="37" customWidth="1"/>
    <col min="17" max="17" width="9.140625" style="30" hidden="1" customWidth="1"/>
    <col min="18" max="18" width="2.140625" style="30" hidden="1" customWidth="1"/>
    <col min="19" max="19" width="9.140625" style="36"/>
    <col min="20" max="21" width="9.140625" style="37" hidden="1" customWidth="1"/>
    <col min="22" max="22" width="11.28515625" style="36" customWidth="1"/>
    <col min="23" max="16384" width="9.140625" style="30"/>
  </cols>
  <sheetData>
    <row r="1" spans="1:22" s="33" customFormat="1" x14ac:dyDescent="0.25">
      <c r="A1" s="31" t="s">
        <v>54</v>
      </c>
      <c r="B1" s="31" t="s">
        <v>55</v>
      </c>
      <c r="C1" s="31" t="s">
        <v>56</v>
      </c>
      <c r="D1" s="31" t="s">
        <v>57</v>
      </c>
      <c r="E1" s="31" t="s">
        <v>58</v>
      </c>
      <c r="F1" s="31" t="s">
        <v>59</v>
      </c>
      <c r="G1" s="31" t="s">
        <v>60</v>
      </c>
      <c r="H1" s="31" t="s">
        <v>61</v>
      </c>
      <c r="I1" s="31" t="s">
        <v>62</v>
      </c>
      <c r="J1" s="31" t="s">
        <v>63</v>
      </c>
      <c r="K1" s="31" t="s">
        <v>64</v>
      </c>
      <c r="L1" s="31" t="s">
        <v>65</v>
      </c>
      <c r="M1" s="31" t="s">
        <v>28</v>
      </c>
      <c r="N1" s="31" t="s">
        <v>50</v>
      </c>
      <c r="O1" s="31" t="s">
        <v>64</v>
      </c>
      <c r="P1" s="31" t="s">
        <v>29</v>
      </c>
      <c r="Q1" s="31" t="s">
        <v>64</v>
      </c>
      <c r="R1" s="31" t="s">
        <v>64</v>
      </c>
      <c r="S1" s="32" t="s">
        <v>30</v>
      </c>
      <c r="T1" s="31" t="s">
        <v>64</v>
      </c>
      <c r="U1" s="31" t="s">
        <v>64</v>
      </c>
      <c r="V1" s="32" t="s">
        <v>35</v>
      </c>
    </row>
    <row r="2" spans="1:22" x14ac:dyDescent="0.25">
      <c r="A2" s="30" t="s">
        <v>42</v>
      </c>
      <c r="B2" s="30" t="s">
        <v>18</v>
      </c>
      <c r="C2" s="34">
        <v>43405</v>
      </c>
      <c r="D2" s="30" t="s">
        <v>66</v>
      </c>
      <c r="E2" s="30" t="s">
        <v>67</v>
      </c>
      <c r="F2" s="30" t="str">
        <f t="shared" ref="F2" si="0">"LON"&amp;IF(B2&lt;&gt;"USD","+"&amp;B2,"")</f>
        <v>LON+ZAR</v>
      </c>
      <c r="G2" s="30" t="s">
        <v>68</v>
      </c>
      <c r="H2" s="30" t="str">
        <f t="shared" ref="H2" si="1">"LON+NYC"&amp;IF(B2&lt;&gt;"USD","+"&amp;B2,"")</f>
        <v>LON+NYC+ZAR</v>
      </c>
      <c r="I2" s="30" t="s">
        <v>69</v>
      </c>
      <c r="J2" s="30" t="str">
        <f t="shared" ref="J2" si="2">IF(B2="ZAR","ZAR.DISC.[USD.LIBOR.3M]","[USD.LIBOR.3M]")</f>
        <v>ZAR.DISC.[USD.LIBOR.3M]</v>
      </c>
      <c r="K2" s="30" t="str">
        <f>IF(D2="Monthly",_xll.QIns_CreateMonthlyAsianSwap("Mswp0_"&amp;ROW(),C2,A2,B2,0,1,F2,H2,I2,"2b",,J2),_xll.QIns_CreateAsianSwap("Tswp0_"&amp;ROW(),C2,A2,B2,0,1,F2,H2,I2,"2b",,J2))</f>
        <v>Tswp0_2¬12</v>
      </c>
      <c r="L2" s="35">
        <f>_xll.QIns_ProductParRate(K2,EnergyCurves!$AB$7)</f>
        <v>10647.929255200299</v>
      </c>
      <c r="M2" s="13">
        <f t="shared" ref="M2:M7" si="3">L2</f>
        <v>10647.929255200299</v>
      </c>
      <c r="N2" s="3">
        <f>833333/159.6/7.45</f>
        <v>700.85700829254336</v>
      </c>
      <c r="O2" s="30" t="str">
        <f>IF(D2="Monthly",_xll.QIns_CreateMonthlyAsianSwap("Mswp_"&amp;ROW(),C2,A2,B2,M2,N2,F2,H2,I2,"2b",,J2),_xll.QIns_CreateAsianSwap("Tswp_"&amp;ROW(),C2,A2,B2,M2,N2,F2,H2,I2,"2b",,J2))</f>
        <v>Tswp_2¬6</v>
      </c>
      <c r="P2" s="35">
        <v>1.7337054686762035E-11</v>
      </c>
      <c r="Q2" s="30" t="str">
        <f>_xll.QIns_AssetPortfolioDelta("delta_"&amp;ROW(),O2,EnergyCurves!$AB$7)</f>
        <v>delta_2¬6</v>
      </c>
      <c r="R2" s="30" t="str">
        <f>_xll.QCube_AggregateCube("deltaAgg_"&amp;ROW(),Q2,"AssetId","Sum")</f>
        <v>deltaAgg_2¬6</v>
      </c>
      <c r="S2" s="36">
        <f>_xll.QCube_DisplayCubeValueForRow(R2,0)</f>
        <v>696.08044167263165</v>
      </c>
      <c r="T2" s="30" t="str">
        <f>_xll.QIns_AssetPortfolioFxDelta("fxdelta_"&amp;ROW(),O2,EnergyCurves!$AB$7)</f>
        <v>fxdelta_2¬6</v>
      </c>
      <c r="U2" s="30" t="str">
        <f>_xll.QCube_AggregateCube("fxdeltaAgg_"&amp;ROW(),T2,"AssetId","Sum")</f>
        <v>fxdeltaAgg_2¬6</v>
      </c>
      <c r="V2" s="36">
        <f>_xll.QCube_DisplayCubeValueForRow(U2,0)</f>
        <v>512909.00869224058</v>
      </c>
    </row>
    <row r="3" spans="1:22" x14ac:dyDescent="0.25">
      <c r="A3" s="30" t="s">
        <v>42</v>
      </c>
      <c r="B3" s="30" t="s">
        <v>18</v>
      </c>
      <c r="C3" s="34">
        <v>43435</v>
      </c>
      <c r="D3" s="30" t="s">
        <v>66</v>
      </c>
      <c r="E3" s="30" t="s">
        <v>67</v>
      </c>
      <c r="F3" s="30" t="str">
        <f t="shared" ref="F3:F7" si="4">"LON"&amp;IF(B3&lt;&gt;"USD","+"&amp;B3,"")</f>
        <v>LON+ZAR</v>
      </c>
      <c r="G3" s="30" t="s">
        <v>68</v>
      </c>
      <c r="H3" s="30" t="str">
        <f t="shared" ref="H3:H7" si="5">"LON+NYC"&amp;IF(B3&lt;&gt;"USD","+"&amp;B3,"")</f>
        <v>LON+NYC+ZAR</v>
      </c>
      <c r="I3" s="30" t="s">
        <v>69</v>
      </c>
      <c r="J3" s="30" t="str">
        <f t="shared" ref="J3:J7" si="6">IF(B3="ZAR","ZAR.DISC.[USD.LIBOR.3M]","[USD.LIBOR.3M]")</f>
        <v>ZAR.DISC.[USD.LIBOR.3M]</v>
      </c>
      <c r="K3" s="30" t="str">
        <f>IF(D3="Monthly",_xll.QIns_CreateMonthlyAsianSwap("Mswp0_"&amp;ROW(),C3,A3,B3,0,1,F3,H3,I3,"2b",,J3),_xll.QIns_CreateAsianSwap("Tswp0_"&amp;ROW(),C3,A3,B3,0,1,F3,H3,I3,"2b",,J3))</f>
        <v>Tswp0_3¬12</v>
      </c>
      <c r="L3" s="35">
        <f>_xll.QIns_ProductParRate(K3,EnergyCurves!$AB$7)</f>
        <v>10666.957849088791</v>
      </c>
      <c r="M3" s="13">
        <f t="shared" si="3"/>
        <v>10666.957849088791</v>
      </c>
      <c r="N3" s="3">
        <f t="shared" ref="N3:N7" si="7">833333/159.6/7.45</f>
        <v>700.85700829254336</v>
      </c>
      <c r="O3" s="30" t="str">
        <f>IF(D3="Monthly",_xll.QIns_CreateMonthlyAsianSwap("Mswp_"&amp;ROW(),C3,A3,B3,M3,N3,F3,H3,I3,"2b",,J3),_xll.QIns_CreateAsianSwap("Tswp_"&amp;ROW(),C3,A3,B3,M3,N3,F3,H3,I3,"2b",,J3))</f>
        <v>Tswp_3¬6</v>
      </c>
      <c r="P3" s="35">
        <v>1.7337054686762035E-11</v>
      </c>
      <c r="Q3" s="30" t="str">
        <f>_xll.QIns_AssetPortfolioDelta("delta_"&amp;ROW(),O3,EnergyCurves!$AB$7)</f>
        <v>delta_3¬6</v>
      </c>
      <c r="R3" s="30" t="str">
        <f>_xll.QCube_AggregateCube("deltaAgg_"&amp;ROW(),Q3,"AssetId","Sum")</f>
        <v>deltaAgg_3¬6</v>
      </c>
      <c r="S3" s="36">
        <f>_xll.QCube_DisplayCubeValueForRow(R3,0)</f>
        <v>694.21944039577238</v>
      </c>
      <c r="T3" s="30" t="str">
        <f>_xll.QIns_AssetPortfolioFxDelta("fxdelta_"&amp;ROW(),O3,EnergyCurves!$AB$7)</f>
        <v>fxdelta_3¬6</v>
      </c>
      <c r="U3" s="30" t="str">
        <f>_xll.QCube_AggregateCube("fxdeltaAgg_"&amp;ROW(),T3,"AssetId","Sum")</f>
        <v>fxdeltaAgg_3¬6</v>
      </c>
      <c r="V3" s="36">
        <f>_xll.QCube_DisplayCubeValueForRow(U3,0)</f>
        <v>510486.1673311966</v>
      </c>
    </row>
    <row r="4" spans="1:22" x14ac:dyDescent="0.25">
      <c r="A4" s="30" t="s">
        <v>42</v>
      </c>
      <c r="B4" s="30" t="s">
        <v>18</v>
      </c>
      <c r="C4" s="34">
        <f t="shared" ref="C4:C7" si="8">EDATE(C3,1)</f>
        <v>43466</v>
      </c>
      <c r="D4" s="30" t="s">
        <v>66</v>
      </c>
      <c r="E4" s="30" t="s">
        <v>67</v>
      </c>
      <c r="F4" s="30" t="str">
        <f t="shared" si="4"/>
        <v>LON+ZAR</v>
      </c>
      <c r="G4" s="30" t="s">
        <v>68</v>
      </c>
      <c r="H4" s="30" t="str">
        <f t="shared" si="5"/>
        <v>LON+NYC+ZAR</v>
      </c>
      <c r="I4" s="30" t="s">
        <v>69</v>
      </c>
      <c r="J4" s="30" t="str">
        <f t="shared" si="6"/>
        <v>ZAR.DISC.[USD.LIBOR.3M]</v>
      </c>
      <c r="K4" s="30" t="str">
        <f>IF(D4="Monthly",_xll.QIns_CreateMonthlyAsianSwap("Mswp0_"&amp;ROW(),C4,A4,B4,0,1,F4,H4,I4,"2b",,J4),_xll.QIns_CreateAsianSwap("Tswp0_"&amp;ROW(),C4,A4,B4,0,1,F4,H4,I4,"2b",,J4))</f>
        <v>Tswp0_4¬12</v>
      </c>
      <c r="L4" s="35">
        <f>_xll.QIns_ProductParRate(K4,EnergyCurves!$AB$7)</f>
        <v>10696.194350316402</v>
      </c>
      <c r="M4" s="13">
        <f t="shared" si="3"/>
        <v>10696.194350316402</v>
      </c>
      <c r="N4" s="3">
        <f t="shared" si="7"/>
        <v>700.85700829254336</v>
      </c>
      <c r="O4" s="30" t="str">
        <f>IF(D4="Monthly",_xll.QIns_CreateMonthlyAsianSwap("Mswp_"&amp;ROW(),C4,A4,B4,M4,N4,F4,H4,I4,"2b",,J4),_xll.QIns_CreateAsianSwap("Tswp_"&amp;ROW(),C4,A4,B4,M4,N4,F4,H4,I4,"2b",,J4))</f>
        <v>Tswp_4¬6</v>
      </c>
      <c r="P4" s="35">
        <v>1.7337054686762035E-11</v>
      </c>
      <c r="Q4" s="30" t="str">
        <f>_xll.QIns_AssetPortfolioDelta("delta_"&amp;ROW(),O4,EnergyCurves!$AB$7)</f>
        <v>delta_4¬6</v>
      </c>
      <c r="R4" s="30" t="str">
        <f>_xll.QCube_AggregateCube("deltaAgg_"&amp;ROW(),Q4,"AssetId","Sum")</f>
        <v>deltaAgg_4¬6</v>
      </c>
      <c r="S4" s="36">
        <f>_xll.QCube_DisplayCubeValueForRow(R4,0)</f>
        <v>692.92557748321906</v>
      </c>
      <c r="T4" s="30" t="str">
        <f>_xll.QIns_AssetPortfolioFxDelta("fxdelta_"&amp;ROW(),O4,EnergyCurves!$AB$7)</f>
        <v>fxdelta_4¬6</v>
      </c>
      <c r="U4" s="30" t="str">
        <f>_xll.QCube_AggregateCube("fxdeltaAgg_"&amp;ROW(),T4,"AssetId","Sum")</f>
        <v>fxdeltaAgg_4¬6</v>
      </c>
      <c r="V4" s="36">
        <f>_xll.QCube_DisplayCubeValueForRow(U4,0)</f>
        <v>508777.71849973185</v>
      </c>
    </row>
    <row r="5" spans="1:22" x14ac:dyDescent="0.25">
      <c r="A5" s="30" t="s">
        <v>42</v>
      </c>
      <c r="B5" s="30" t="s">
        <v>18</v>
      </c>
      <c r="C5" s="34">
        <f t="shared" si="8"/>
        <v>43497</v>
      </c>
      <c r="D5" s="30" t="s">
        <v>66</v>
      </c>
      <c r="E5" s="30" t="s">
        <v>67</v>
      </c>
      <c r="F5" s="30" t="str">
        <f t="shared" si="4"/>
        <v>LON+ZAR</v>
      </c>
      <c r="G5" s="30" t="s">
        <v>68</v>
      </c>
      <c r="H5" s="30" t="str">
        <f t="shared" si="5"/>
        <v>LON+NYC+ZAR</v>
      </c>
      <c r="I5" s="30" t="s">
        <v>69</v>
      </c>
      <c r="J5" s="30" t="str">
        <f t="shared" si="6"/>
        <v>ZAR.DISC.[USD.LIBOR.3M]</v>
      </c>
      <c r="K5" s="30" t="str">
        <f>IF(D5="Monthly",_xll.QIns_CreateMonthlyAsianSwap("Mswp0_"&amp;ROW(),C5,A5,B5,0,1,F5,H5,I5,"2b",,J5),_xll.QIns_CreateAsianSwap("Tswp0_"&amp;ROW(),C5,A5,B5,0,1,F5,H5,I5,"2b",,J5))</f>
        <v>Tswp0_5¬4</v>
      </c>
      <c r="L5" s="35">
        <f>_xll.QIns_ProductParRate(K5,EnergyCurves!$AB$7)</f>
        <v>10717.5271544479</v>
      </c>
      <c r="M5" s="13">
        <f t="shared" si="3"/>
        <v>10717.5271544479</v>
      </c>
      <c r="N5" s="3">
        <f t="shared" si="7"/>
        <v>700.85700829254336</v>
      </c>
      <c r="O5" s="30" t="str">
        <f>IF(D5="Monthly",_xll.QIns_CreateMonthlyAsianSwap("Mswp_"&amp;ROW(),C5,A5,B5,M5,N5,F5,H5,I5,"2b",,J5),_xll.QIns_CreateAsianSwap("Tswp_"&amp;ROW(),C5,A5,B5,M5,N5,F5,H5,I5,"2b",,J5))</f>
        <v>Tswp_5¬4</v>
      </c>
      <c r="P5" s="35">
        <v>1.7337054686762035E-11</v>
      </c>
      <c r="Q5" s="30" t="str">
        <f>_xll.QIns_AssetPortfolioDelta("delta_"&amp;ROW(),O5,EnergyCurves!$AB$7)</f>
        <v>delta_5¬4</v>
      </c>
      <c r="R5" s="30" t="str">
        <f>_xll.QCube_AggregateCube("deltaAgg_"&amp;ROW(),Q5,"AssetId","Sum")</f>
        <v>deltaAgg_5¬4</v>
      </c>
      <c r="S5" s="36">
        <f>_xll.QCube_DisplayCubeValueForRow(R5,0)</f>
        <v>691.61772392688374</v>
      </c>
      <c r="T5" s="30" t="str">
        <f>_xll.QIns_AssetPortfolioFxDelta("fxdelta_"&amp;ROW(),O5,EnergyCurves!$AB$7)</f>
        <v>fxdelta_5¬4</v>
      </c>
      <c r="U5" s="30" t="str">
        <f>_xll.QCube_AggregateCube("fxdeltaAgg_"&amp;ROW(),T5,"AssetId","Sum")</f>
        <v>fxdeltaAgg_5¬4</v>
      </c>
      <c r="V5" s="36">
        <f>_xll.QCube_DisplayCubeValueForRow(U5,0)</f>
        <v>506893.43517623562</v>
      </c>
    </row>
    <row r="6" spans="1:22" x14ac:dyDescent="0.25">
      <c r="A6" s="30" t="s">
        <v>42</v>
      </c>
      <c r="B6" s="30" t="s">
        <v>18</v>
      </c>
      <c r="C6" s="34">
        <f t="shared" si="8"/>
        <v>43525</v>
      </c>
      <c r="D6" s="30" t="s">
        <v>66</v>
      </c>
      <c r="E6" s="30" t="s">
        <v>67</v>
      </c>
      <c r="F6" s="30" t="str">
        <f t="shared" si="4"/>
        <v>LON+ZAR</v>
      </c>
      <c r="G6" s="30" t="s">
        <v>68</v>
      </c>
      <c r="H6" s="30" t="str">
        <f t="shared" si="5"/>
        <v>LON+NYC+ZAR</v>
      </c>
      <c r="I6" s="30" t="s">
        <v>69</v>
      </c>
      <c r="J6" s="30" t="str">
        <f t="shared" si="6"/>
        <v>ZAR.DISC.[USD.LIBOR.3M]</v>
      </c>
      <c r="K6" s="30" t="str">
        <f>IF(D6="Monthly",_xll.QIns_CreateMonthlyAsianSwap("Mswp0_"&amp;ROW(),C6,A6,B6,0,1,F6,H6,I6,"2b",,J6),_xll.QIns_CreateAsianSwap("Tswp0_"&amp;ROW(),C6,A6,B6,0,1,F6,H6,I6,"2b",,J6))</f>
        <v>Tswp0_6¬12</v>
      </c>
      <c r="L6" s="35">
        <f>_xll.QIns_ProductParRate(K6,EnergyCurves!$AB$7)</f>
        <v>10726.665280356692</v>
      </c>
      <c r="M6" s="13">
        <f t="shared" si="3"/>
        <v>10726.665280356692</v>
      </c>
      <c r="N6" s="3">
        <f t="shared" si="7"/>
        <v>700.85700829254336</v>
      </c>
      <c r="O6" s="30" t="str">
        <f>IF(D6="Monthly",_xll.QIns_CreateMonthlyAsianSwap("Mswp_"&amp;ROW(),C6,A6,B6,M6,N6,F6,H6,I6,"2b",,J6),_xll.QIns_CreateAsianSwap("Tswp_"&amp;ROW(),C6,A6,B6,M6,N6,F6,H6,I6,"2b",,J6))</f>
        <v>Tswp_6¬7</v>
      </c>
      <c r="P6" s="35">
        <v>1.7337054686762035E-11</v>
      </c>
      <c r="Q6" s="30" t="str">
        <f>_xll.QIns_AssetPortfolioDelta("delta_"&amp;ROW(),O6,EnergyCurves!$AB$7)</f>
        <v>delta_6¬7</v>
      </c>
      <c r="R6" s="30" t="str">
        <f>_xll.QCube_AggregateCube("deltaAgg_"&amp;ROW(),Q6,"AssetId","Sum")</f>
        <v>deltaAgg_6¬7</v>
      </c>
      <c r="S6" s="36">
        <f>_xll.QCube_DisplayCubeValueForRow(R6,0)</f>
        <v>690.05821666917825</v>
      </c>
      <c r="T6" s="30" t="str">
        <f>_xll.QIns_AssetPortfolioFxDelta("fxdelta_"&amp;ROW(),O6,EnergyCurves!$AB$7)</f>
        <v>fxdelta_6¬7</v>
      </c>
      <c r="U6" s="30" t="str">
        <f>_xll.QCube_AggregateCube("fxdeltaAgg_"&amp;ROW(),T6,"AssetId","Sum")</f>
        <v>fxdeltaAgg_6¬7</v>
      </c>
      <c r="V6" s="36">
        <f>_xll.QCube_DisplayCubeValueForRow(U6,0)</f>
        <v>504327.60534007795</v>
      </c>
    </row>
    <row r="7" spans="1:22" x14ac:dyDescent="0.25">
      <c r="A7" s="30" t="s">
        <v>42</v>
      </c>
      <c r="B7" s="30" t="s">
        <v>18</v>
      </c>
      <c r="C7" s="34">
        <f t="shared" si="8"/>
        <v>43556</v>
      </c>
      <c r="D7" s="30" t="s">
        <v>66</v>
      </c>
      <c r="E7" s="30" t="s">
        <v>67</v>
      </c>
      <c r="F7" s="30" t="str">
        <f t="shared" si="4"/>
        <v>LON+ZAR</v>
      </c>
      <c r="G7" s="30" t="s">
        <v>68</v>
      </c>
      <c r="H7" s="30" t="str">
        <f t="shared" si="5"/>
        <v>LON+NYC+ZAR</v>
      </c>
      <c r="I7" s="30" t="s">
        <v>69</v>
      </c>
      <c r="J7" s="30" t="str">
        <f t="shared" si="6"/>
        <v>ZAR.DISC.[USD.LIBOR.3M]</v>
      </c>
      <c r="K7" s="30" t="str">
        <f>IF(D7="Monthly",_xll.QIns_CreateMonthlyAsianSwap("Mswp0_"&amp;ROW(),C7,A7,B7,0,1,F7,H7,I7,"2b",,J7),_xll.QIns_CreateAsianSwap("Tswp0_"&amp;ROW(),C7,A7,B7,0,1,F7,H7,I7,"2b",,J7))</f>
        <v>Tswp0_7¬12</v>
      </c>
      <c r="L7" s="35">
        <f>_xll.QIns_ProductParRate(K7,EnergyCurves!$AB$7)</f>
        <v>10739.962923060968</v>
      </c>
      <c r="M7" s="13">
        <f t="shared" si="3"/>
        <v>10739.962923060968</v>
      </c>
      <c r="N7" s="3">
        <f t="shared" si="7"/>
        <v>700.85700829254336</v>
      </c>
      <c r="O7" s="30" t="str">
        <f>IF(D7="Monthly",_xll.QIns_CreateMonthlyAsianSwap("Mswp_"&amp;ROW(),C7,A7,B7,M7,N7,F7,H7,I7,"2b",,J7),_xll.QIns_CreateAsianSwap("Tswp_"&amp;ROW(),C7,A7,B7,M7,N7,F7,H7,I7,"2b",,J7))</f>
        <v>Tswp_7¬7</v>
      </c>
      <c r="P7" s="35">
        <v>1.7337054686762035E-11</v>
      </c>
      <c r="Q7" s="30" t="str">
        <f>_xll.QIns_AssetPortfolioDelta("delta_"&amp;ROW(),O7,EnergyCurves!$AB$7)</f>
        <v>delta_7¬7</v>
      </c>
      <c r="R7" s="30" t="str">
        <f>_xll.QCube_AggregateCube("deltaAgg_"&amp;ROW(),Q7,"AssetId","Sum")</f>
        <v>deltaAgg_7¬7</v>
      </c>
      <c r="S7" s="36">
        <f>_xll.QCube_DisplayCubeValueForRow(R7,0)</f>
        <v>688.01672488309987</v>
      </c>
      <c r="T7" s="30" t="str">
        <f>_xll.QIns_AssetPortfolioFxDelta("fxdelta_"&amp;ROW(),O7,EnergyCurves!$AB$7)</f>
        <v>fxdelta_7¬7</v>
      </c>
      <c r="U7" s="30" t="str">
        <f>_xll.QCube_AggregateCube("fxdeltaAgg_"&amp;ROW(),T7,"AssetId","Sum")</f>
        <v>fxdeltaAgg_7¬7</v>
      </c>
      <c r="V7" s="36">
        <f>_xll.QCube_DisplayCubeValueForRow(U7,0)</f>
        <v>501533.01385000476</v>
      </c>
    </row>
    <row r="8" spans="1:22" x14ac:dyDescent="0.25">
      <c r="C8" s="34"/>
    </row>
    <row r="9" spans="1:22" x14ac:dyDescent="0.25">
      <c r="C9" s="34"/>
      <c r="J9" s="34"/>
      <c r="L9" s="38"/>
    </row>
    <row r="10" spans="1:22" x14ac:dyDescent="0.25">
      <c r="C10" s="34"/>
      <c r="J10" s="34"/>
      <c r="L10" s="38"/>
    </row>
    <row r="11" spans="1:22" x14ac:dyDescent="0.25">
      <c r="J11" s="34"/>
      <c r="L11" s="38"/>
    </row>
    <row r="12" spans="1:22" x14ac:dyDescent="0.25">
      <c r="G12" s="30" t="str">
        <f ca="1">_xll.QModels_CreateMcSettings("mcs",2^15,100,"MersenneTwister",E15:E23)</f>
        <v>mcs¬14</v>
      </c>
      <c r="J12" s="34"/>
      <c r="L12" s="38"/>
    </row>
    <row r="13" spans="1:22" x14ac:dyDescent="0.25">
      <c r="G13" s="30" t="str">
        <f>_xll.QIns_CreatePortfolio("pfeTrades",O2:O7)</f>
        <v>pfeTrades¬9</v>
      </c>
      <c r="J13" s="34"/>
      <c r="L13" s="38"/>
    </row>
    <row r="14" spans="1:22" x14ac:dyDescent="0.25">
      <c r="J14" s="34"/>
      <c r="L14" s="38"/>
    </row>
    <row r="15" spans="1:22" x14ac:dyDescent="0.25">
      <c r="E15" s="1">
        <f ca="1">TODAY()+1</f>
        <v>43376</v>
      </c>
      <c r="G15" s="30" t="str">
        <f ca="1">_xll.QModels_McPortfolioPFE("pfe1",G13,EnergyCurves!AB7,G12,0.95)</f>
        <v>pfe1¬9</v>
      </c>
    </row>
    <row r="16" spans="1:22" x14ac:dyDescent="0.25">
      <c r="E16" s="1">
        <f t="shared" ref="E16:E23" ca="1" si="9">EDATE(E15,1)</f>
        <v>43407</v>
      </c>
    </row>
    <row r="17" spans="5:9" x14ac:dyDescent="0.25">
      <c r="E17" s="1">
        <f t="shared" ca="1" si="9"/>
        <v>43437</v>
      </c>
      <c r="G17" s="30" t="str">
        <f t="array" aca="1" ref="G17:I26" ca="1">_xll.QCube_DisplayCube(G15)</f>
        <v>ExposureDate</v>
      </c>
      <c r="H17" s="30" t="str">
        <f ca="1"/>
        <v>Value</v>
      </c>
      <c r="I17" s="30" t="e">
        <f ca="1"/>
        <v>#N/A</v>
      </c>
    </row>
    <row r="18" spans="5:9" x14ac:dyDescent="0.25">
      <c r="E18" s="1">
        <f t="shared" ca="1" si="9"/>
        <v>43468</v>
      </c>
      <c r="G18" s="1">
        <f ca="1"/>
        <v>43376</v>
      </c>
      <c r="H18" s="12">
        <f ca="1"/>
        <v>1233490.0212027282</v>
      </c>
      <c r="I18" s="30" t="e">
        <f ca="1"/>
        <v>#N/A</v>
      </c>
    </row>
    <row r="19" spans="5:9" x14ac:dyDescent="0.25">
      <c r="E19" s="1">
        <f t="shared" ca="1" si="9"/>
        <v>43499</v>
      </c>
      <c r="G19" s="1">
        <f ca="1"/>
        <v>43407</v>
      </c>
      <c r="H19" s="12">
        <f ca="1"/>
        <v>6403774.6643332094</v>
      </c>
      <c r="I19" s="30" t="e">
        <f ca="1"/>
        <v>#N/A</v>
      </c>
    </row>
    <row r="20" spans="5:9" x14ac:dyDescent="0.25">
      <c r="E20" s="1">
        <f t="shared" ca="1" si="9"/>
        <v>43527</v>
      </c>
      <c r="G20" s="1">
        <f ca="1"/>
        <v>43437</v>
      </c>
      <c r="H20" s="12">
        <f ca="1"/>
        <v>8527655.1134155095</v>
      </c>
      <c r="I20" s="30" t="e">
        <f ca="1"/>
        <v>#N/A</v>
      </c>
    </row>
    <row r="21" spans="5:9" x14ac:dyDescent="0.25">
      <c r="E21" s="1">
        <f t="shared" ca="1" si="9"/>
        <v>43558</v>
      </c>
      <c r="G21" s="1">
        <f ca="1"/>
        <v>43468</v>
      </c>
      <c r="H21" s="12">
        <f ca="1"/>
        <v>8716758.0492831022</v>
      </c>
      <c r="I21" s="30" t="e">
        <f ca="1"/>
        <v>#N/A</v>
      </c>
    </row>
    <row r="22" spans="5:9" x14ac:dyDescent="0.25">
      <c r="E22" s="1">
        <f ca="1">EDATE(E21,1)</f>
        <v>43588</v>
      </c>
      <c r="G22" s="1">
        <f ca="1"/>
        <v>43499</v>
      </c>
      <c r="H22" s="12">
        <f ca="1"/>
        <v>8205750.1807715222</v>
      </c>
      <c r="I22" s="30" t="e">
        <f ca="1"/>
        <v>#N/A</v>
      </c>
    </row>
    <row r="23" spans="5:9" x14ac:dyDescent="0.25">
      <c r="E23" s="1">
        <f ca="1">EDATE(E22,1)</f>
        <v>43619</v>
      </c>
      <c r="G23" s="1">
        <f ca="1"/>
        <v>43527</v>
      </c>
      <c r="H23" s="12">
        <f ca="1"/>
        <v>6919119.0685860366</v>
      </c>
      <c r="I23" s="30" t="e">
        <f ca="1"/>
        <v>#N/A</v>
      </c>
    </row>
    <row r="24" spans="5:9" x14ac:dyDescent="0.25">
      <c r="E24" s="1"/>
      <c r="G24" s="1">
        <f ca="1"/>
        <v>43558</v>
      </c>
      <c r="H24" s="12">
        <f ca="1"/>
        <v>5047531.1547840834</v>
      </c>
      <c r="I24" s="30" t="e">
        <f ca="1"/>
        <v>#N/A</v>
      </c>
    </row>
    <row r="25" spans="5:9" x14ac:dyDescent="0.25">
      <c r="E25" s="1"/>
      <c r="G25" s="1">
        <f ca="1"/>
        <v>43588</v>
      </c>
      <c r="H25" s="12">
        <f ca="1"/>
        <v>2617164.7045899536</v>
      </c>
      <c r="I25" s="30" t="e">
        <f ca="1"/>
        <v>#N/A</v>
      </c>
    </row>
    <row r="26" spans="5:9" x14ac:dyDescent="0.25">
      <c r="G26" s="1">
        <f ca="1"/>
        <v>43619</v>
      </c>
      <c r="H26" s="12">
        <f ca="1"/>
        <v>0</v>
      </c>
      <c r="I26" s="30" t="e">
        <f ca="1"/>
        <v>#N/A</v>
      </c>
    </row>
  </sheetData>
  <dataValidations count="4">
    <dataValidation type="list" allowBlank="1" showInputMessage="1" showErrorMessage="1" sqref="A2:A7" xr:uid="{97524132-49E8-4D1A-A70D-A6F6F9E0FA72}">
      <formula1>"ICEBrent,ICEGasoil,Sing180,API4"</formula1>
    </dataValidation>
    <dataValidation type="list" allowBlank="1" showInputMessage="1" showErrorMessage="1" sqref="B2:B7" xr:uid="{25145B23-13C0-4359-876A-3D12AB01F130}">
      <formula1>"USD,ZAR"</formula1>
    </dataValidation>
    <dataValidation type="list" allowBlank="1" showInputMessage="1" showErrorMessage="1" sqref="D2:D7" xr:uid="{58426DC2-888D-4BAC-B6F7-389812B08EE0}">
      <formula1>"Term,Monthly"</formula1>
    </dataValidation>
    <dataValidation type="list" allowBlank="1" showInputMessage="1" showErrorMessage="1" sqref="E2:E7" xr:uid="{718CAF17-A3F4-414B-BA28-2843E2D62516}">
      <formula1>"ATC,CTA"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980-D3DA-4152-B7FD-EB4BF27C59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FundingFx</vt:lpstr>
      <vt:lpstr>EnergyCurves</vt:lpstr>
      <vt:lpstr>SwapPricer</vt:lpstr>
      <vt:lpstr>Sheet1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2018-10-02T14:32:52Z</dcterms:modified>
</cp:coreProperties>
</file>